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/>
  <bookViews>
    <workbookView xWindow="60" yWindow="105" windowWidth="21450" windowHeight="7740"/>
  </bookViews>
  <sheets>
    <sheet name="Основной" sheetId="1" r:id="rId1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B10" i="1" l="1"/>
  <c r="C11" i="1" l="1"/>
  <c r="G2" i="1" l="1"/>
  <c r="C19" i="1" l="1"/>
  <c r="C18" i="1"/>
  <c r="B21" i="1" l="1"/>
  <c r="C9" i="1" l="1"/>
  <c r="C17" i="1"/>
  <c r="B17" i="1"/>
  <c r="C12" i="1"/>
  <c r="B12" i="1"/>
  <c r="B9" i="1"/>
  <c r="E6" i="1" l="1"/>
  <c r="B14" i="1"/>
  <c r="C31" i="1" l="1"/>
  <c r="B70" i="1" l="1"/>
  <c r="F26" i="1" l="1"/>
  <c r="G26" i="1" l="1"/>
  <c r="E26" i="1"/>
  <c r="D26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C26" i="1" l="1"/>
  <c r="B26" i="1"/>
  <c r="B72" i="1"/>
  <c r="L63" i="1" s="1"/>
  <c r="B71" i="1"/>
  <c r="K63" i="1" s="1"/>
  <c r="J63" i="1"/>
  <c r="I63" i="1"/>
  <c r="H63" i="1"/>
  <c r="G63" i="1"/>
  <c r="F63" i="1"/>
  <c r="E63" i="1"/>
  <c r="D63" i="1"/>
  <c r="C63" i="1"/>
  <c r="F50" i="1" l="1"/>
  <c r="F49" i="1"/>
  <c r="E50" i="1"/>
  <c r="E49" i="1"/>
  <c r="E44" i="1" l="1"/>
  <c r="F44" i="1"/>
  <c r="G44" i="1"/>
  <c r="B45" i="1"/>
  <c r="G45" i="1" s="1"/>
  <c r="E45" i="1"/>
  <c r="H45" i="1"/>
  <c r="F45" i="1" l="1"/>
  <c r="E47" i="1"/>
  <c r="D57" i="1" l="1"/>
  <c r="C57" i="1"/>
  <c r="C56" i="1"/>
  <c r="B57" i="1" l="1"/>
  <c r="I25" i="1" l="1"/>
  <c r="H25" i="1" s="1"/>
  <c r="A56" i="1" l="1"/>
  <c r="E10" i="1" l="1"/>
  <c r="E11" i="1" l="1"/>
  <c r="E13" i="1"/>
  <c r="I9" i="1" l="1"/>
  <c r="B35" i="1"/>
  <c r="E12" i="1" l="1"/>
  <c r="E14" i="1"/>
  <c r="E15" i="1"/>
  <c r="E16" i="1"/>
  <c r="E17" i="1"/>
  <c r="E18" i="1"/>
  <c r="E19" i="1"/>
  <c r="J25" i="1" l="1"/>
  <c r="B15" i="1"/>
  <c r="G4" i="1" l="1"/>
  <c r="E4" i="1"/>
  <c r="F4" i="1" s="1"/>
  <c r="I4" i="1" l="1"/>
  <c r="H4" i="1" l="1"/>
  <c r="T1" i="1" l="1"/>
  <c r="S2" i="1" l="1"/>
  <c r="R2" i="1" l="1"/>
  <c r="R1" i="1"/>
  <c r="Q2" i="1"/>
  <c r="P2" i="1"/>
  <c r="Q1" i="1"/>
  <c r="K1" i="1"/>
  <c r="P1" i="1"/>
  <c r="M1" i="1"/>
  <c r="A1" i="1"/>
  <c r="B1" i="1"/>
  <c r="T2" i="1" l="1"/>
  <c r="O2" i="1" l="1"/>
  <c r="O1" i="1"/>
  <c r="N2" i="1"/>
  <c r="N1" i="1"/>
  <c r="M2" i="1"/>
  <c r="L2" i="1"/>
  <c r="L1" i="1"/>
  <c r="K2" i="1"/>
  <c r="J1" i="1"/>
  <c r="I2" i="1"/>
  <c r="I1" i="1"/>
  <c r="H2" i="1"/>
  <c r="H1" i="1"/>
  <c r="G1" i="1"/>
  <c r="F1" i="1"/>
  <c r="E2" i="1"/>
  <c r="E1" i="1"/>
  <c r="C1" i="1"/>
  <c r="L32" i="1" l="1"/>
  <c r="J35" i="1"/>
  <c r="L33" i="1" s="1"/>
  <c r="N33" i="1" s="1"/>
  <c r="L35" i="1"/>
  <c r="N35" i="1" s="1"/>
  <c r="L31" i="1"/>
  <c r="N31" i="1" s="1"/>
  <c r="F18" i="1"/>
  <c r="I18" i="1" l="1"/>
  <c r="L34" i="1"/>
  <c r="N34" i="1" s="1"/>
  <c r="C4" i="1" l="1"/>
  <c r="B2" i="1" s="1"/>
  <c r="D4" i="1"/>
  <c r="A2" i="1" s="1"/>
  <c r="L8" i="1"/>
  <c r="L7" i="1"/>
  <c r="L6" i="1"/>
  <c r="I13" i="1" l="1"/>
  <c r="I12" i="1"/>
  <c r="I11" i="1"/>
  <c r="I10" i="1"/>
  <c r="I16" i="1" l="1"/>
  <c r="F16" i="1"/>
  <c r="F17" i="1"/>
  <c r="I17" i="1"/>
  <c r="F19" i="1"/>
  <c r="I19" i="1"/>
  <c r="I23" i="1"/>
  <c r="H23" i="1" s="1"/>
  <c r="I22" i="1"/>
  <c r="H22" i="1" s="1"/>
  <c r="I20" i="1"/>
  <c r="H20" i="1" s="1"/>
  <c r="I24" i="1"/>
  <c r="H24" i="1" s="1"/>
  <c r="I21" i="1"/>
  <c r="H21" i="1" s="1"/>
  <c r="D2" i="1"/>
  <c r="C5" i="1" l="1"/>
  <c r="E5" i="1" l="1"/>
  <c r="F8" i="1"/>
  <c r="F9" i="1"/>
  <c r="F10" i="1"/>
  <c r="F12" i="1"/>
  <c r="F13" i="1"/>
  <c r="I14" i="1"/>
  <c r="F14" i="1" l="1"/>
  <c r="J4" i="1"/>
  <c r="F15" i="1"/>
  <c r="I15" i="1"/>
  <c r="J9" i="1"/>
  <c r="J18" i="1"/>
  <c r="J10" i="1"/>
  <c r="J12" i="1"/>
  <c r="J11" i="1"/>
  <c r="J13" i="1"/>
  <c r="J21" i="1"/>
  <c r="J20" i="1"/>
  <c r="J17" i="1"/>
  <c r="J16" i="1"/>
  <c r="J23" i="1"/>
  <c r="J24" i="1"/>
  <c r="J22" i="1"/>
  <c r="J19" i="1"/>
  <c r="J14" i="1"/>
  <c r="I8" i="1"/>
  <c r="F7" i="1"/>
  <c r="I7" i="1"/>
  <c r="F6" i="1"/>
  <c r="I6" i="1"/>
  <c r="F11" i="1"/>
  <c r="J15" i="1" l="1"/>
  <c r="H6" i="1"/>
  <c r="H7" i="1" s="1"/>
  <c r="H8" i="1" s="1"/>
  <c r="J8" i="1"/>
  <c r="J6" i="1"/>
  <c r="J7" i="1"/>
  <c r="H9" i="1" l="1"/>
  <c r="H10" i="1" l="1"/>
  <c r="C2" i="1"/>
  <c r="H11" i="1" l="1"/>
  <c r="H12" i="1" l="1"/>
  <c r="H13" i="1" l="1"/>
  <c r="H14" i="1" l="1"/>
  <c r="F40" i="1"/>
  <c r="E35" i="1"/>
  <c r="F31" i="1"/>
  <c r="H31" i="1" s="1"/>
  <c r="F36" i="1"/>
  <c r="H36" i="1" s="1"/>
  <c r="F35" i="1"/>
  <c r="F34" i="1"/>
  <c r="F33" i="1"/>
  <c r="H33" i="1" s="1"/>
  <c r="F32" i="1"/>
  <c r="H15" i="1" l="1"/>
  <c r="H16" i="1" l="1"/>
  <c r="H17" i="1" l="1"/>
  <c r="F39" i="1"/>
  <c r="C15" i="1"/>
  <c r="E40" i="1"/>
  <c r="E39" i="1"/>
  <c r="E38" i="1"/>
  <c r="H35" i="1"/>
  <c r="H34" i="1" l="1"/>
  <c r="F38" i="1"/>
  <c r="H40" i="1"/>
  <c r="N32" i="1"/>
  <c r="H32" i="1"/>
  <c r="H18" i="1"/>
  <c r="H19" i="1" l="1"/>
  <c r="F2" i="1"/>
  <c r="J2" i="1" l="1"/>
  <c r="D56" i="1" l="1"/>
  <c r="B56" i="1"/>
  <c r="A55" i="1" s="1"/>
</calcChain>
</file>

<file path=xl/comments1.xml><?xml version="1.0" encoding="utf-8"?>
<comments xmlns="http://schemas.openxmlformats.org/spreadsheetml/2006/main">
  <authors>
    <author>Zver</author>
  </authors>
  <commentList>
    <comment ref="B5" authorId="0">
      <text>
        <r>
          <rPr>
            <sz val="9"/>
            <color indexed="81"/>
            <rFont val="Tahoma"/>
            <family val="2"/>
            <charset val="204"/>
          </rPr>
          <t>Указать поставщика оборудов: 
Э - "Ericsson", 
Н - "Nokia", 
Х - "Huawei".</t>
        </r>
      </text>
    </comment>
    <comment ref="B6" authorId="0">
      <text>
        <r>
          <rPr>
            <sz val="9"/>
            <color indexed="81"/>
            <rFont val="Tahoma"/>
            <family val="2"/>
            <charset val="204"/>
          </rPr>
          <t>КШ - Климатический шкаф;
КА - Контейнер-аппаратная;
А - Аппаратная.</t>
        </r>
      </text>
    </comment>
    <comment ref="B7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8" authorId="0">
      <text>
        <r>
          <rPr>
            <sz val="9"/>
            <color indexed="81"/>
            <rFont val="Tahoma"/>
            <family val="2"/>
            <charset val="204"/>
          </rPr>
          <t>Указать через запятую или пробел с нулями.
Пример: 
10,01,10</t>
        </r>
      </text>
    </comment>
    <comment ref="B23" authorId="0">
      <text>
        <r>
          <rPr>
            <sz val="9"/>
            <color indexed="81"/>
            <rFont val="Tahoma"/>
            <family val="2"/>
            <charset val="204"/>
          </rPr>
          <t>ПАО "МТС";
ПАО "ВымпелКом";
ПАО "Мегафон";
ООО "Т2 Мобайл"</t>
        </r>
      </text>
    </comment>
  </commentList>
</comments>
</file>

<file path=xl/sharedStrings.xml><?xml version="1.0" encoding="utf-8"?>
<sst xmlns="http://schemas.openxmlformats.org/spreadsheetml/2006/main" count="203" uniqueCount="158">
  <si>
    <t>Заказчик</t>
  </si>
  <si>
    <t>Организация</t>
  </si>
  <si>
    <t>Проверил</t>
  </si>
  <si>
    <t>Год</t>
  </si>
  <si>
    <t xml:space="preserve"> </t>
  </si>
  <si>
    <t>"__"__________</t>
  </si>
  <si>
    <t>Дата не заполняется</t>
  </si>
  <si>
    <t>Разработал РС</t>
  </si>
  <si>
    <t>ГИП</t>
  </si>
  <si>
    <t>Номер БС</t>
  </si>
  <si>
    <t>Привязка к оператору</t>
  </si>
  <si>
    <t>Регион</t>
  </si>
  <si>
    <t>-</t>
  </si>
  <si>
    <t>Конструкции металлические</t>
  </si>
  <si>
    <t>Радиорелейная связь. Технологическая часть РРС ответной части РРЛ</t>
  </si>
  <si>
    <t>Конструкции металлические (усиление)</t>
  </si>
  <si>
    <t>Силовое электрооборудование. Внутреннее электропитание</t>
  </si>
  <si>
    <t>Молниезащита</t>
  </si>
  <si>
    <t>Отчет о техническом состоянии осветительной опоры</t>
  </si>
  <si>
    <t>Пояснительная записка</t>
  </si>
  <si>
    <t>Проект санитарно-защитных зон, устанавливающий зоны</t>
  </si>
  <si>
    <t>Н. контр.</t>
  </si>
  <si>
    <t>Разработал</t>
  </si>
  <si>
    <t>Генеральный директор</t>
  </si>
  <si>
    <t>Титульный 1</t>
  </si>
  <si>
    <t>Титульный 2</t>
  </si>
  <si>
    <t>Титульный 3</t>
  </si>
  <si>
    <t>Инженер-проектировщик</t>
  </si>
  <si>
    <t>Запись ГИПа</t>
  </si>
  <si>
    <t>Т. контр.</t>
  </si>
  <si>
    <t>Координаты</t>
  </si>
  <si>
    <t>Наименование</t>
  </si>
  <si>
    <t>Проект производства работ</t>
  </si>
  <si>
    <t>Оборудование</t>
  </si>
  <si>
    <t>Стадия</t>
  </si>
  <si>
    <t>Альбом 1</t>
  </si>
  <si>
    <t>Альбом 2</t>
  </si>
  <si>
    <t>Альбом 3</t>
  </si>
  <si>
    <t>Альбом 4</t>
  </si>
  <si>
    <t>Альбом 5</t>
  </si>
  <si>
    <t>Альбом 6</t>
  </si>
  <si>
    <t>Альбом 7</t>
  </si>
  <si>
    <t>Альбом 8</t>
  </si>
  <si>
    <t>Альбом 9</t>
  </si>
  <si>
    <t>Архитектурные решения</t>
  </si>
  <si>
    <t>Проект организации строительства</t>
  </si>
  <si>
    <t>Схема планировочной организации земельного участка</t>
  </si>
  <si>
    <t>Проект организации работ по сносу (демонтажу) линейного объекта</t>
  </si>
  <si>
    <t>Подписи на титульном листе</t>
  </si>
  <si>
    <t>Э</t>
  </si>
  <si>
    <t>ИО</t>
  </si>
  <si>
    <t>Главный инженер проекта</t>
  </si>
  <si>
    <t>Раздел 1</t>
  </si>
  <si>
    <t>Раздел 2</t>
  </si>
  <si>
    <t>Раздел 3</t>
  </si>
  <si>
    <t>Раздел 4</t>
  </si>
  <si>
    <t>Раздел 5</t>
  </si>
  <si>
    <t>Раздел 6</t>
  </si>
  <si>
    <t>Раздел 7</t>
  </si>
  <si>
    <t>Раздел 8</t>
  </si>
  <si>
    <t>Раздел 9</t>
  </si>
  <si>
    <t>Раздел 10</t>
  </si>
  <si>
    <t>Раздел 11</t>
  </si>
  <si>
    <t>Конструктивные и объемно-планировочные решения</t>
  </si>
  <si>
    <t>Проект санитарно-защитных зон, устанавливающий зоны ограничения застройки ПРТО оператора сотовой связи ПАО «ВымпелКом»</t>
  </si>
  <si>
    <t>Расчет несущей способности</t>
  </si>
  <si>
    <t>Проект санитарно-защитных зон, устанавливающий зоны ограничения застройки ПРТО оператора сотовой связи ПАО «ВымпелКом» ответная часть</t>
  </si>
  <si>
    <t>Р</t>
  </si>
  <si>
    <t>Конструкции бетонные</t>
  </si>
  <si>
    <t>Технологические решения. Точка Б</t>
  </si>
  <si>
    <t>Технологические решения. Точка переприема ТПП1</t>
  </si>
  <si>
    <t>Технологические решения. Точка переприема ТПП3</t>
  </si>
  <si>
    <t>Технологические решения. Прокладка ВОЛС</t>
  </si>
  <si>
    <t>область</t>
  </si>
  <si>
    <t>Учреждение</t>
  </si>
  <si>
    <t>ООО "ФайберСвязьСтрой"</t>
  </si>
  <si>
    <t>Наименование антенны</t>
  </si>
  <si>
    <t>Азимут</t>
  </si>
  <si>
    <t>Куда</t>
  </si>
  <si>
    <t>на РРС-2</t>
  </si>
  <si>
    <t>на РРС-1</t>
  </si>
  <si>
    <t>Высота</t>
  </si>
  <si>
    <t>Расстояние</t>
  </si>
  <si>
    <t>Общие данные</t>
  </si>
  <si>
    <t>РРС</t>
  </si>
  <si>
    <t>ВОЛС</t>
  </si>
  <si>
    <t>РРС+ВОЛС</t>
  </si>
  <si>
    <t>+</t>
  </si>
  <si>
    <t>ДОТс-П-08У-7кН</t>
  </si>
  <si>
    <t>UTP</t>
  </si>
  <si>
    <t>ВВГнг</t>
  </si>
  <si>
    <t>ВВГнг 3х1,5</t>
  </si>
  <si>
    <t>Длина</t>
  </si>
  <si>
    <t>Тип</t>
  </si>
  <si>
    <t>FTP</t>
  </si>
  <si>
    <t>UTP 4x2x0.52</t>
  </si>
  <si>
    <t>ПВ3 (ПУГВ)</t>
  </si>
  <si>
    <t>Проект. кабель</t>
  </si>
  <si>
    <t>Антенна проект. 1</t>
  </si>
  <si>
    <t>Антенна проект. 2</t>
  </si>
  <si>
    <t>+3,000</t>
  </si>
  <si>
    <t>+35,000</t>
  </si>
  <si>
    <t>56.711927, 65.966561</t>
  </si>
  <si>
    <t>56.743080, 66.049039</t>
  </si>
  <si>
    <t>Основной комплект рабочих чертежей</t>
  </si>
  <si>
    <t>Волокна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</si>
  <si>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</si>
  <si>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</si>
  <si>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</si>
  <si>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</si>
  <si>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</si>
  <si>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</si>
  <si>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</si>
  <si>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</si>
  <si>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</si>
  <si>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</si>
  <si>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</si>
  <si>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</si>
  <si>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</si>
  <si>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</si>
  <si>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</si>
  <si>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</si>
  <si>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</si>
  <si>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</si>
  <si>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</si>
  <si>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</si>
  <si>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Черный</t>
  </si>
  <si>
    <t>Коричневый</t>
  </si>
  <si>
    <t>Розовый</t>
  </si>
  <si>
    <t>Красный</t>
  </si>
  <si>
    <t>Синий</t>
  </si>
  <si>
    <t>Фиолетовый</t>
  </si>
  <si>
    <t>Бело-чёрный</t>
  </si>
  <si>
    <t>Бело-коричневый</t>
  </si>
  <si>
    <t>Бело-розовый</t>
  </si>
  <si>
    <t>Бело-зелёный</t>
  </si>
  <si>
    <t>Бело-синий</t>
  </si>
  <si>
    <t>Бело-фиолетовый</t>
  </si>
  <si>
    <t>Салатовый</t>
  </si>
  <si>
    <t>Белый</t>
  </si>
  <si>
    <t>Ссылки</t>
  </si>
  <si>
    <t>Планы</t>
  </si>
  <si>
    <t>первого этажа</t>
  </si>
  <si>
    <t>подвала</t>
  </si>
  <si>
    <t>Структурная схема 1-го подъезда</t>
  </si>
  <si>
    <t>Коричнево-оранжевый</t>
  </si>
  <si>
    <t>Желтый</t>
  </si>
  <si>
    <t>МКУ</t>
  </si>
  <si>
    <t>ПАО "МТС"</t>
  </si>
  <si>
    <t>Новосибирская</t>
  </si>
  <si>
    <t>12-2023-Н/22-ЛГ</t>
  </si>
  <si>
    <t>Улицы</t>
  </si>
  <si>
    <t>Дома</t>
  </si>
  <si>
    <t>ул. Державина</t>
  </si>
  <si>
    <t>77, 77/1, 77/2</t>
  </si>
  <si>
    <t>акпувап</t>
  </si>
  <si>
    <t>_____________</t>
  </si>
  <si>
    <t>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</si>
</sst>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_-* #,##0.00_р_._-;\-* #,##0.00_р_._-;_-* &quot;-&quot;??_р_._-;_-@_-"/>
    <numFmt numFmtId="166" formatCode="_-* #,##0.00_р_._-;\-* #,##0.00_р_._-;_-* \-??_р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10"/>
      <name val="Calibri"/>
      <family val="2"/>
      <charset val="186"/>
    </font>
    <font>
      <sz val="11"/>
      <color indexed="19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GOST"/>
      <family val="2"/>
      <charset val="204"/>
    </font>
    <font>
      <sz val="10"/>
      <color theme="1"/>
      <name val="GOST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53"/>
        <bgColor indexed="52"/>
      </patternFill>
    </fill>
    <fill>
      <patternFill patternType="solid">
        <fgColor indexed="51"/>
        <bgColor indexed="13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60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7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1" fillId="4" borderId="7" applyNumberFormat="0" applyAlignment="0" applyProtection="0"/>
    <xf numFmtId="0" fontId="16" fillId="16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21" fillId="0" borderId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" fillId="0" borderId="0"/>
    <xf numFmtId="166" fontId="1" fillId="0" borderId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34">
    <xf numFmtId="0" fontId="0" fillId="0" borderId="0" xfId="0"/>
    <xf numFmtId="0" fontId="23" fillId="18" borderId="0" xfId="0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center"/>
    </xf>
    <xf numFmtId="164" fontId="23" fillId="18" borderId="0" xfId="0" applyNumberFormat="1" applyFont="1" applyFill="1" applyBorder="1" applyAlignment="1">
      <alignment horizontal="center" vertical="center"/>
    </xf>
    <xf numFmtId="0" fontId="23" fillId="18" borderId="0" xfId="0" applyNumberFormat="1" applyFont="1" applyFill="1" applyBorder="1" applyAlignment="1">
      <alignment horizontal="center" vertical="center"/>
    </xf>
    <xf numFmtId="49" fontId="23" fillId="18" borderId="0" xfId="0" applyNumberFormat="1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horizontal="left"/>
    </xf>
    <xf numFmtId="0" fontId="23" fillId="20" borderId="0" xfId="0" applyFont="1" applyFill="1" applyBorder="1" applyAlignment="1">
      <alignment horizontal="left"/>
    </xf>
    <xf numFmtId="164" fontId="23" fillId="0" borderId="0" xfId="0" applyNumberFormat="1" applyFont="1" applyFill="1" applyBorder="1" applyAlignment="1">
      <alignment horizontal="left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/>
    <xf numFmtId="0" fontId="23" fillId="19" borderId="0" xfId="0" applyFont="1" applyFill="1" applyBorder="1" applyAlignment="1">
      <alignment horizontal="left"/>
    </xf>
    <xf numFmtId="0" fontId="23" fillId="19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/>
    </xf>
    <xf numFmtId="0" fontId="24" fillId="20" borderId="0" xfId="0" applyFont="1" applyFill="1" applyAlignment="1">
      <alignment horizontal="left"/>
    </xf>
    <xf numFmtId="0" fontId="23" fillId="19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left" vertical="center"/>
    </xf>
    <xf numFmtId="0" fontId="24" fillId="19" borderId="0" xfId="0" applyFont="1" applyFill="1" applyAlignment="1">
      <alignment horizontal="left"/>
    </xf>
    <xf numFmtId="0" fontId="23" fillId="18" borderId="0" xfId="0" applyNumberFormat="1" applyFont="1" applyFill="1" applyBorder="1" applyAlignment="1">
      <alignment horizontal="left"/>
    </xf>
    <xf numFmtId="0" fontId="24" fillId="18" borderId="0" xfId="0" applyFont="1" applyFill="1" applyAlignment="1">
      <alignment horizontal="left"/>
    </xf>
    <xf numFmtId="0" fontId="23" fillId="0" borderId="0" xfId="0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/>
    </xf>
    <xf numFmtId="0" fontId="23" fillId="2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49" fontId="23" fillId="19" borderId="0" xfId="0" applyNumberFormat="1" applyFont="1" applyFill="1" applyBorder="1" applyAlignment="1">
      <alignment horizontal="left"/>
    </xf>
    <xf numFmtId="0" fontId="24" fillId="19" borderId="0" xfId="0" applyFont="1" applyFill="1" applyAlignment="1">
      <alignment horizontal="center" vertical="center"/>
    </xf>
    <xf numFmtId="0" fontId="24" fillId="18" borderId="0" xfId="0" applyFont="1" applyFill="1" applyAlignment="1">
      <alignment horizontal="left" textRotation="90"/>
    </xf>
    <xf numFmtId="0" fontId="24" fillId="21" borderId="0" xfId="0" applyFont="1" applyFill="1" applyAlignment="1">
      <alignment horizontal="left"/>
    </xf>
    <xf numFmtId="0" fontId="23" fillId="18" borderId="0" xfId="0" applyFont="1" applyFill="1" applyBorder="1" applyAlignment="1">
      <alignment horizontal="left" vertical="center"/>
    </xf>
    <xf numFmtId="0" fontId="23" fillId="18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18" borderId="0" xfId="0" applyFont="1" applyFill="1" applyBorder="1" applyAlignment="1">
      <alignment horizontal="center" vertical="center"/>
    </xf>
  </cellXfs>
  <cellStyles count="60">
    <cellStyle name="%" xfId="2"/>
    <cellStyle name="_CGET RUS Q1-Q2_2009_final_full version_v1" xfId="3"/>
    <cellStyle name="_group_costs_2009-07 (от Авдюхова)" xfId="4"/>
    <cellStyle name="_klas_zatr_ver 2_1" xfId="5"/>
    <cellStyle name="20% - Accent1" xfId="6"/>
    <cellStyle name="20% - Accent2" xfId="7"/>
    <cellStyle name="20% - Accent3" xfId="8"/>
    <cellStyle name="20% - Accent4" xfId="9"/>
    <cellStyle name="20% - Accent5" xfId="10"/>
    <cellStyle name="20% - Accent6" xfId="11"/>
    <cellStyle name="40% - Accent1" xfId="12"/>
    <cellStyle name="40% - Accent2" xfId="13"/>
    <cellStyle name="40% - Accent3" xfId="14"/>
    <cellStyle name="40% - Accent4" xfId="15"/>
    <cellStyle name="40% - Accent5" xfId="16"/>
    <cellStyle name="40% - Accent6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Input" xfId="39"/>
    <cellStyle name="Linked Cell" xfId="40"/>
    <cellStyle name="Neutral" xfId="41"/>
    <cellStyle name="Normal 2" xfId="42"/>
    <cellStyle name="Normal 2 2" xfId="43"/>
    <cellStyle name="Normal_BTS  LIST ver3" xfId="44"/>
    <cellStyle name="Note" xfId="45"/>
    <cellStyle name="Output" xfId="46"/>
    <cellStyle name="Title" xfId="47"/>
    <cellStyle name="Total" xfId="48"/>
    <cellStyle name="Warning Text" xfId="49"/>
    <cellStyle name="Обычный" xfId="0" builtinId="0"/>
    <cellStyle name="Обычный 2" xfId="50"/>
    <cellStyle name="Обычный 3" xfId="51"/>
    <cellStyle name="Обычный 4" xfId="52"/>
    <cellStyle name="Обычный 5" xfId="1"/>
    <cellStyle name="Обычный 7" xfId="53"/>
    <cellStyle name="Процентный 2" xfId="54"/>
    <cellStyle name="Процентный 3" xfId="55"/>
    <cellStyle name="Стиль 1" xfId="56"/>
    <cellStyle name="Финансовый 2" xfId="58"/>
    <cellStyle name="Финансовый 3" xfId="59"/>
    <cellStyle name="Финансовый 4" xfId="57"/>
  </cellStyles>
  <dxfs count="0"/>
  <tableStyles count="0" defaultTableStyle="TableStyleMedium2" defaultPivotStyle="PivotStyleLight16"/>
  <colors>
    <mruColors>
      <color rgb="FFFF99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3"/>
  <sheetViews>
    <sheetView tabSelected="1" zoomScale="130" zoomScaleNormal="130" workbookViewId="0">
      <selection activeCell="E10" sqref="E10"/>
    </sheetView>
  </sheetViews>
  <sheetFormatPr defaultRowHeight="12.75" x14ac:dyDescent="0.2"/>
  <cols>
    <col min="1" max="1" width="23.140625" style="10" customWidth="1"/>
    <col min="2" max="2" width="16.7109375" style="10" customWidth="1"/>
    <col min="3" max="3" width="10" style="10" bestFit="1" customWidth="1"/>
    <col min="4" max="4" width="7.28515625" style="10" customWidth="1"/>
    <col min="5" max="5" width="22.42578125" style="10" customWidth="1"/>
    <col min="6" max="6" width="20" style="10" customWidth="1"/>
    <col min="7" max="7" width="18" style="10" customWidth="1"/>
    <col min="8" max="8" width="9.7109375" style="10" customWidth="1"/>
    <col min="9" max="9" width="9.140625" style="10" customWidth="1"/>
    <col min="10" max="10" width="46.7109375" style="10" customWidth="1"/>
    <col min="11" max="11" width="10.5703125" style="10" customWidth="1"/>
    <col min="12" max="12" width="11.140625" style="10" customWidth="1"/>
    <col min="13" max="13" width="18.7109375" style="10" customWidth="1"/>
    <col min="14" max="15" width="9.28515625" style="10" bestFit="1" customWidth="1"/>
    <col min="16" max="17" width="9.28515625" style="10" customWidth="1"/>
    <col min="18" max="18" width="9.140625" style="10" customWidth="1"/>
    <col min="19" max="19" width="9.140625" style="10"/>
    <col min="20" max="21" width="9.28515625" style="10" bestFit="1" customWidth="1"/>
    <col min="22" max="22" width="10.7109375" style="10" bestFit="1" customWidth="1"/>
    <col min="23" max="31" width="9.28515625" style="10" bestFit="1" customWidth="1"/>
    <col min="32" max="32" width="10.140625" style="10" bestFit="1" customWidth="1"/>
    <col min="33" max="34" width="9.140625" style="10"/>
    <col min="35" max="35" width="18.7109375" style="10" bestFit="1" customWidth="1"/>
    <col min="36" max="16384" width="9.140625" style="10"/>
  </cols>
  <sheetData>
    <row r="1" spans="1:20" s="2" customFormat="1" x14ac:dyDescent="0.2">
      <c r="A1" s="1" t="str">
        <f>A4&amp;" 1"</f>
        <v>Стадия 1</v>
      </c>
      <c r="B1" s="1" t="str">
        <f>A4&amp;" 2"</f>
        <v>Стадия 2</v>
      </c>
      <c r="C1" s="1" t="str">
        <f>A6</f>
        <v>Учреждение</v>
      </c>
      <c r="D1" s="1" t="s">
        <v>30</v>
      </c>
      <c r="E1" s="1" t="str">
        <f>A9</f>
        <v>Разработал РС</v>
      </c>
      <c r="F1" s="1" t="str">
        <f>A10</f>
        <v>Наименование</v>
      </c>
      <c r="G1" s="1" t="str">
        <f>A11</f>
        <v>Год</v>
      </c>
      <c r="H1" s="1" t="str">
        <f>A12</f>
        <v>ГИП</v>
      </c>
      <c r="I1" s="1" t="str">
        <f>A13</f>
        <v>Номер БС</v>
      </c>
      <c r="J1" s="1" t="str">
        <f>A14</f>
        <v>Привязка к оператору</v>
      </c>
      <c r="K1" s="1" t="str">
        <f>A16&amp;" 1"</f>
        <v>Регион 1</v>
      </c>
      <c r="L1" s="1" t="str">
        <f>A17</f>
        <v>Проверил</v>
      </c>
      <c r="M1" s="1" t="str">
        <f>A18&amp;" 1"</f>
        <v>Улицы 1</v>
      </c>
      <c r="N1" s="1" t="str">
        <f>A21</f>
        <v>Организация</v>
      </c>
      <c r="O1" s="1" t="str">
        <f>A23</f>
        <v>Заказчик</v>
      </c>
      <c r="P1" s="1" t="str">
        <f>A16&amp;" 2"</f>
        <v>Регион 2</v>
      </c>
      <c r="Q1" s="1" t="str">
        <f>A18&amp;" 2"</f>
        <v>Улицы 2</v>
      </c>
      <c r="R1" s="2" t="e">
        <f>#REF!&amp;""&amp;#REF!</f>
        <v>#REF!</v>
      </c>
      <c r="S1" s="1" t="s">
        <v>50</v>
      </c>
      <c r="T1" s="2" t="str">
        <f>A22</f>
        <v>Дата не заполняется</v>
      </c>
    </row>
    <row r="2" spans="1:20" s="2" customFormat="1" x14ac:dyDescent="0.2">
      <c r="A2" s="3" t="str">
        <f>D4</f>
        <v>Р</v>
      </c>
      <c r="B2" s="1" t="str">
        <f>C4</f>
        <v>Рабочая документация</v>
      </c>
      <c r="C2" s="1">
        <f>C6</f>
        <v>0</v>
      </c>
      <c r="D2" s="3" t="str">
        <f>"Коодинаты в системе WGS-84:"&amp;"
"&amp;C7&amp;" с.ш."&amp;"
"&amp;C8&amp;" в.д."</f>
        <v>Коодинаты в системе WGS-84:
 с.ш.
 в.д.</v>
      </c>
      <c r="E2" s="4" t="str">
        <f>B9</f>
        <v/>
      </c>
      <c r="F2" s="4" t="str">
        <f>B10</f>
        <v>Подключение жилых домов ул. Державина 77, 77/1, 77/2</v>
      </c>
      <c r="G2" s="1" t="str">
        <f>"Новосибирск"&amp;"
"&amp;"20"&amp;B11</f>
        <v>Новосибирск
2023</v>
      </c>
      <c r="H2" s="1" t="str">
        <f>B12</f>
        <v/>
      </c>
      <c r="I2" s="5" t="str">
        <f>B13</f>
        <v>12-2023-Н/22-ЛГ</v>
      </c>
      <c r="J2" s="1" t="str">
        <f>B14</f>
        <v>Модернизация мультисервисной сети кабельного вещания и передачи данных с использованием технологий FTTB в городе Новосибирск</v>
      </c>
      <c r="K2" s="1" t="e">
        <f>C18&amp;" "&amp;#REF!</f>
        <v>#REF!</v>
      </c>
      <c r="L2" s="1" t="str">
        <f>B17</f>
        <v/>
      </c>
      <c r="M2" s="1" t="e">
        <f>C18&amp;" "&amp;#REF!</f>
        <v>#REF!</v>
      </c>
      <c r="N2" s="1" t="str">
        <f>B21</f>
        <v/>
      </c>
      <c r="O2" s="1" t="str">
        <f>B23</f>
        <v>ПАО "МТС"</v>
      </c>
      <c r="P2" s="1" t="str">
        <f>IF(C16="область",MID(B16,1,LEN(B16)-2)&amp;"ой "&amp;MID(C16,1,LEN(C16)-1)&amp;"и",IF(C16="край",MID(B16,1,LEN(B16)-2)&amp;"ом "&amp;MID(C16,1,LEN(C16)-1)&amp;"е",MID(C16,1,LEN(C16)-1)&amp;"е "&amp;B16))</f>
        <v>Новосибирской области</v>
      </c>
      <c r="Q2" s="1" t="e">
        <f>C18&amp;" "&amp;#REF!</f>
        <v>#REF!</v>
      </c>
      <c r="R2" s="1" t="e">
        <f>#REF!&amp;" "&amp;#REF!</f>
        <v>#REF!</v>
      </c>
      <c r="S2" s="1" t="str">
        <f>C12</f>
        <v/>
      </c>
      <c r="T2" s="2" t="str">
        <f>B22&amp;" "&amp;G2&amp;" г."</f>
        <v>"__"__________ Новосибирск
2023 г.</v>
      </c>
    </row>
    <row r="4" spans="1:20" x14ac:dyDescent="0.2">
      <c r="A4" s="6" t="s">
        <v>34</v>
      </c>
      <c r="B4" s="7" t="s">
        <v>67</v>
      </c>
      <c r="C4" s="6" t="str">
        <f>IF(B4="П","Проектная документация",IF(B4="Р","Рабочая документация",IF(B4="Рд","Рабочая документация",IF(B4="Пд","ПРОЕКТНАЯ ДОКУМЕНТАЦИЯ",""))))</f>
        <v>Рабочая документация</v>
      </c>
      <c r="D4" s="8" t="str">
        <f>MID(B4,1,1)</f>
        <v>Р</v>
      </c>
      <c r="E4" s="7" t="str">
        <f>IF(MID(B23,6,2)="Т2",$B$13&amp;"-ППР",IF(MID(B23,6,2)="МТ",$B$13&amp;"-АОП",IF(MID(B23,6,2)="Вы",$B$13&amp;"-ОТР",IF(MID(B23,6,2)="Ме",$B$13&amp;"-ОТР",""))))</f>
        <v>12-2023-Н/22-ЛГ-АОП</v>
      </c>
      <c r="F4" s="6" t="str">
        <f>E4&amp;".С"</f>
        <v>12-2023-Н/22-ЛГ-АОП.С</v>
      </c>
      <c r="G4" s="7" t="str">
        <f>IF(MID(B23,6,2)="Т2",$B$13&amp;"Предпроектное решение",IF(MID(B23,6,2)="МТ","Акт обследования",IF(MID(B23,6,2)="Вы","Основные технические решения",IF(MID(B23,6,2)="Ме","Основные технические решения",""))))</f>
        <v>Акт обследования</v>
      </c>
      <c r="H4" s="1" t="str">
        <f>IF(I4="","",H25+1)</f>
        <v/>
      </c>
      <c r="I4" s="9" t="str">
        <f>IF($D$6=N26,$E$6,IF($D$7=N26,$E$7,IF($D$8=N26,$E$8,IF($D$9=N26,$E$9,IF($D$10=N26,$E$10,IF($D$11=N26,$E$11,IF($D$12=N26,$E$12,IF($D$13=N26,$E$13,IF($D$14=N26,$E$14,IF($D$15=N26,$E$15,IF($D$16=N26,$E$16,IF($D$17=N26,$E$17,IF($D$18=N26,$E$18,IF($D$19=N26,$E$19,IF($D$20=N26,$E$20,IF($D$21=N26,$E$21,IF($D$22=N26,$E$22,IF($D$23=N26,$E$23,IF($D$24=N26,$E$24,IF($D$25=N26,$E$25,""))))))))))))))))))))</f>
        <v/>
      </c>
      <c r="J4" s="9" t="str">
        <f t="shared" ref="J4" si="0">IF(I4=$E$6,$G$6,IF(I4=$E$7,$G$7,IF(I4=$E$8,$G$8,IF(I4=$E$9,$G$9,IF(I4=$E$10,$G$10,IF(I4=$E$11,$G$11,IF(I4=$E$12,$G$12,IF(I4=$E$13,$G$13,IF(I4=$E$14,$G$14,IF(I4=$E$15,$G$15,IF(I4=$E$16,$G$16,IF(I4=$E$17,$G$17,IF(I4=$E$18,$G$18,IF(I4=$E$19,$G$19,IF(I4=$E$20,$G$20,IF(I4=$E$21,$G$21,IF(I4=$E$22,$G$22,IF(I4=$E$23,$G$23,IF(I4=$E$24,$G$24,IF(I4=$E$25,$G$25,""))))))))))))))))))))</f>
        <v/>
      </c>
      <c r="K4" s="7"/>
      <c r="L4" s="7"/>
      <c r="M4" s="7"/>
      <c r="P4" s="11"/>
      <c r="Q4" s="11"/>
      <c r="R4" s="11"/>
      <c r="S4" s="11"/>
    </row>
    <row r="5" spans="1:20" x14ac:dyDescent="0.2">
      <c r="A5" s="6" t="s">
        <v>33</v>
      </c>
      <c r="B5" s="7" t="s">
        <v>49</v>
      </c>
      <c r="C5" s="6" t="str">
        <f>IF(B5="Э","Ericsson",IF(B5="Н","Nokia",IF(B5="Х","Huawei","")))</f>
        <v>Ericsson</v>
      </c>
      <c r="E5" s="7" t="str">
        <f>$B$13&amp;"-СП"</f>
        <v>12-2023-Н/22-ЛГ-СП</v>
      </c>
      <c r="F5" s="6"/>
      <c r="G5" s="7"/>
      <c r="H5" s="6"/>
      <c r="I5" s="6"/>
      <c r="J5" s="6"/>
      <c r="K5" s="7"/>
      <c r="L5" s="7"/>
      <c r="M5" s="7"/>
      <c r="P5" s="11"/>
      <c r="Q5" s="11"/>
      <c r="R5" s="11"/>
      <c r="S5" s="11"/>
    </row>
    <row r="6" spans="1:20" x14ac:dyDescent="0.2">
      <c r="A6" s="6" t="s">
        <v>74</v>
      </c>
      <c r="B6" s="12"/>
      <c r="C6" s="6"/>
      <c r="D6" s="13">
        <v>1</v>
      </c>
      <c r="E6" s="7" t="str">
        <f>B13</f>
        <v>12-2023-Н/22-ЛГ</v>
      </c>
      <c r="F6" s="6" t="str">
        <f t="shared" ref="F6:F12" si="1">E6&amp;".С"</f>
        <v>12-2023-Н/22-ЛГ.С</v>
      </c>
      <c r="G6" s="7" t="s">
        <v>104</v>
      </c>
      <c r="H6" s="1">
        <f>IF(I6="","",H5+1)</f>
        <v>1</v>
      </c>
      <c r="I6" s="9" t="str">
        <f t="shared" ref="I6:I8" si="2">IF($D$6=N6,$E$6,IF($D$7=N6,$E$7,IF($D$8=N6,$E$8,IF($D$9=N6,$E$9,IF($D$10=N6,$E$10,IF($D$11=N6,$E$11,IF($D$12=N6,$E$12,IF($D$13=N6,$E$13,IF($D$14=N6,$E$14,IF($D$15=N6,$E$15,IF($D$16=N6,$E$16,IF($D$17=N6,$E$17,IF($D$18=N6,$E$18,IF($D$19=N6,$E$19,IF($D$20=N6,$E$20,IF($D$21=N6,$E$21,IF($D$22=N6,$E$22,IF($D$23=N6,$E$23,IF($D$24=N6,$E$24,IF($D$25=N6,$E$25,""))))))))))))))))))))</f>
        <v>12-2023-Н/22-ЛГ</v>
      </c>
      <c r="J6" s="9" t="str">
        <f t="shared" ref="J6:J8" si="3">IF(I6=$E$6,$G$6,IF(I6=$E$7,$G$7,IF(I6=$E$8,$G$8,IF(I6=$E$9,$G$9,IF(I6=$E$10,$G$10,IF(I6=$E$11,$G$11,IF(I6=$E$12,$G$12,IF(I6=$E$13,$G$13,IF(I6=$E$14,$G$14,IF(I6=$E$15,$G$15,IF(I6=$E$16,$G$16,IF(I6=$E$17,$G$17,IF(I6=$E$18,$G$18,IF(I6=$E$19,$G$19,IF(I6=$E$20,$G$20,IF(I6=$E$21,$G$21,IF(I6=$E$22,$G$22,IF(I6=$E$23,$G$23,IF(I6=$E$24,$G$24,IF(I6=$E$25,$G$25,""))))))))))))))))))))</f>
        <v>Основной комплект рабочих чертежей</v>
      </c>
      <c r="K6" s="7" t="s">
        <v>35</v>
      </c>
      <c r="L6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6" s="7"/>
      <c r="N6" s="14">
        <v>1</v>
      </c>
      <c r="P6" s="11"/>
      <c r="Q6" s="11"/>
      <c r="R6" s="11"/>
      <c r="S6" s="11"/>
    </row>
    <row r="7" spans="1:20" x14ac:dyDescent="0.2">
      <c r="A7" s="6"/>
      <c r="B7" s="12"/>
      <c r="C7" s="6"/>
      <c r="D7" s="13" t="s">
        <v>12</v>
      </c>
      <c r="E7" s="7" t="str">
        <f>$B$13&amp;".ПЗ"</f>
        <v>12-2023-Н/22-ЛГ.ПЗ</v>
      </c>
      <c r="F7" s="6" t="str">
        <f t="shared" si="1"/>
        <v>12-2023-Н/22-ЛГ.ПЗ.С</v>
      </c>
      <c r="G7" s="7" t="s">
        <v>70</v>
      </c>
      <c r="H7" s="1" t="str">
        <f t="shared" ref="H7:H8" si="4">IF(I7="","",H6+1)</f>
        <v/>
      </c>
      <c r="I7" s="9" t="str">
        <f t="shared" si="2"/>
        <v/>
      </c>
      <c r="J7" s="9" t="str">
        <f t="shared" si="3"/>
        <v/>
      </c>
      <c r="K7" s="7" t="s">
        <v>36</v>
      </c>
      <c r="L7" s="7" t="str">
        <f>"Радиосвязь. Технологическая часть БС"&amp;"
"&amp;"Основной комплект рабочих чертежей"</f>
        <v>Радиосвязь. Технологическая часть БС
Основной комплект рабочих чертежей</v>
      </c>
      <c r="M7" s="7"/>
      <c r="N7" s="14">
        <v>2</v>
      </c>
      <c r="P7" s="11"/>
      <c r="Q7" s="11"/>
      <c r="R7" s="11"/>
      <c r="S7" s="11"/>
    </row>
    <row r="8" spans="1:20" x14ac:dyDescent="0.2">
      <c r="A8" s="6" t="s">
        <v>147</v>
      </c>
      <c r="B8" s="12"/>
      <c r="C8" s="6"/>
      <c r="D8" s="13" t="s">
        <v>12</v>
      </c>
      <c r="E8" s="7" t="str">
        <f>$B$13&amp;".ПК"</f>
        <v>12-2023-Н/22-ЛГ.ПК</v>
      </c>
      <c r="F8" s="6" t="str">
        <f t="shared" si="1"/>
        <v>12-2023-Н/22-ЛГ.ПК.С</v>
      </c>
      <c r="G8" s="7" t="s">
        <v>72</v>
      </c>
      <c r="H8" s="1" t="str">
        <f t="shared" si="4"/>
        <v/>
      </c>
      <c r="I8" s="9" t="str">
        <f t="shared" si="2"/>
        <v/>
      </c>
      <c r="J8" s="9" t="str">
        <f t="shared" si="3"/>
        <v/>
      </c>
      <c r="K8" s="7" t="s">
        <v>37</v>
      </c>
      <c r="L8" s="7" t="str">
        <f>"Силовое электрооборудование."&amp;"
"&amp;"Внешнее электроснабжение и внутреннее электропитание."&amp;"
"&amp;"Основной комплект рабочих чертежей"</f>
        <v>Силовое электрооборудование.
Внешнее электроснабжение и внутреннее электропитание.
Основной комплект рабочих чертежей</v>
      </c>
      <c r="M8" s="7"/>
      <c r="N8" s="14">
        <v>3</v>
      </c>
      <c r="P8" s="11"/>
      <c r="Q8" s="11"/>
      <c r="R8" s="11"/>
      <c r="S8" s="11"/>
    </row>
    <row r="9" spans="1:20" x14ac:dyDescent="0.2">
      <c r="A9" s="6" t="s">
        <v>7</v>
      </c>
      <c r="B9" s="7" t="str">
        <f>""</f>
        <v/>
      </c>
      <c r="C9" s="6" t="str">
        <f>""</f>
        <v/>
      </c>
      <c r="D9" s="13" t="s">
        <v>12</v>
      </c>
      <c r="E9" s="7" t="str">
        <f>$B$13&amp;".ЛС"</f>
        <v>12-2023-Н/22-ЛГ.ЛС</v>
      </c>
      <c r="F9" s="6" t="str">
        <f t="shared" si="1"/>
        <v>12-2023-Н/22-ЛГ.ЛС.С</v>
      </c>
      <c r="G9" s="7" t="s">
        <v>71</v>
      </c>
      <c r="H9" s="1" t="str">
        <f t="shared" ref="H9:H25" si="5">IF(I9="","",H8+1)</f>
        <v/>
      </c>
      <c r="I9" s="9" t="str">
        <f>IF($D$6=N9,$E$6,IF($D$7=N9,$E$7,IF($D$8=N9,$E$8,IF($D$9=N9,$E$9,IF($D$10=N9,$E$10,IF($D$11=N9,$E$11,IF($D$12=N9,$E$12,IF($D$13=N9,$E$13,IF($D$14=N9,$E$14,IF($D$15=N9,$E$15,IF($D$16=N9,$E$16,IF($D$17=N9,$E$17,IF($D$18=N9,$E$18,IF($D$19=N9,$E$19,IF($D$20=N9,$E$20,IF($D$21=N9,$E$21,IF($D$22=N9,$E$22,IF($D$23=N9,$E$23,IF($D$24=N9,$E$24,IF($D$25=N9,$E$25,""))))))))))))))))))))</f>
        <v/>
      </c>
      <c r="J9" s="9" t="str">
        <f t="shared" ref="J9:J25" si="6">IF(I9=$E$6,$G$6,IF(I9=$E$7,$G$7,IF(I9=$E$8,$G$8,IF(I9=$E$9,$G$9,IF(I9=$E$10,$G$10,IF(I9=$E$11,$G$11,IF(I9=$E$12,$G$12,IF(I9=$E$13,$G$13,IF(I9=$E$14,$G$14,IF(I9=$E$15,$G$15,IF(I9=$E$16,$G$16,IF(I9=$E$17,$G$17,IF(I9=$E$18,$G$18,IF(I9=$E$19,$G$19,IF(I9=$E$20,$G$20,IF(I9=$E$21,$G$21,IF(I9=$E$22,$G$22,IF(I9=$E$23,$G$23,IF(I9=$E$24,$G$24,IF(I9=$E$25,$G$25,""))))))))))))))))))))</f>
        <v/>
      </c>
      <c r="K9" s="7" t="s">
        <v>38</v>
      </c>
      <c r="L9" s="7" t="s">
        <v>13</v>
      </c>
      <c r="M9" s="7"/>
      <c r="N9" s="14">
        <v>4</v>
      </c>
      <c r="P9" s="11"/>
      <c r="Q9" s="11"/>
      <c r="R9" s="11"/>
      <c r="S9" s="11"/>
    </row>
    <row r="10" spans="1:20" x14ac:dyDescent="0.2">
      <c r="A10" s="6" t="s">
        <v>31</v>
      </c>
      <c r="B10" s="6" t="str">
        <f>"Подключение жилых домов "&amp;B18&amp;" "&amp;B19</f>
        <v>Подключение жилых домов ул. Державина 77, 77/1, 77/2</v>
      </c>
      <c r="C10" s="6"/>
      <c r="D10" s="13" t="s">
        <v>12</v>
      </c>
      <c r="E10" s="7" t="str">
        <f>$B$13&amp;"."&amp;$B$11&amp;"-ТХ5"</f>
        <v>12-2023-Н/22-ЛГ.23-ТХ5</v>
      </c>
      <c r="F10" s="6" t="str">
        <f t="shared" si="1"/>
        <v>12-2023-Н/22-ЛГ.23-ТХ5.С</v>
      </c>
      <c r="G10" s="7" t="s">
        <v>69</v>
      </c>
      <c r="H10" s="1" t="str">
        <f t="shared" si="5"/>
        <v/>
      </c>
      <c r="I10" s="9" t="str">
        <f t="shared" ref="I10:I25" si="7">IF($D$6=N10,$E$6,IF($D$7=N10,$E$7,IF($D$8=N10,$E$8,IF($D$9=N10,$E$9,IF($D$10=N10,$E$10,IF($D$11=N10,$E$11,IF($D$12=N10,$E$12,IF($D$13=N10,$E$13,IF($D$14=N10,$E$14,IF($D$15=N10,$E$15,IF($D$16=N10,$E$16,IF($D$17=N10,$E$17,IF($D$18=N10,$E$18,IF($D$19=N10,$E$19,IF($D$20=N10,$E$20,IF($D$21=N10,$E$21,IF($D$22=N10,$E$22,IF($D$23=N10,$E$23,IF($D$24=N10,$E$24,IF($D$25=N10,$E$25,""))))))))))))))))))))</f>
        <v/>
      </c>
      <c r="J10" s="9" t="str">
        <f t="shared" si="6"/>
        <v/>
      </c>
      <c r="K10" s="7" t="s">
        <v>39</v>
      </c>
      <c r="L10" s="7" t="s">
        <v>15</v>
      </c>
      <c r="M10" s="7"/>
      <c r="N10" s="14">
        <v>5</v>
      </c>
      <c r="P10" s="11"/>
      <c r="Q10" s="11"/>
      <c r="R10" s="11"/>
      <c r="S10" s="11"/>
    </row>
    <row r="11" spans="1:20" x14ac:dyDescent="0.2">
      <c r="A11" s="6" t="s">
        <v>3</v>
      </c>
      <c r="B11" s="7">
        <v>23</v>
      </c>
      <c r="C11" s="7" t="str">
        <f>"20"&amp;B11</f>
        <v>2023</v>
      </c>
      <c r="D11" s="13" t="s">
        <v>12</v>
      </c>
      <c r="E11" s="7" t="str">
        <f>$B$13&amp;"."&amp;$B$11&amp;"-КБ"</f>
        <v>12-2023-Н/22-ЛГ.23-КБ</v>
      </c>
      <c r="F11" s="6" t="str">
        <f t="shared" si="1"/>
        <v>12-2023-Н/22-ЛГ.23-КБ.С</v>
      </c>
      <c r="G11" s="7" t="s">
        <v>68</v>
      </c>
      <c r="H11" s="1" t="str">
        <f t="shared" si="5"/>
        <v/>
      </c>
      <c r="I11" s="9" t="str">
        <f t="shared" si="7"/>
        <v/>
      </c>
      <c r="J11" s="9" t="str">
        <f t="shared" si="6"/>
        <v/>
      </c>
      <c r="K11" s="7" t="s">
        <v>40</v>
      </c>
      <c r="L11" s="7" t="s">
        <v>16</v>
      </c>
      <c r="M11" s="7"/>
      <c r="N11" s="14">
        <v>6</v>
      </c>
      <c r="P11" s="11"/>
      <c r="Q11" s="11"/>
      <c r="R11" s="11"/>
      <c r="S11" s="11"/>
    </row>
    <row r="12" spans="1:20" x14ac:dyDescent="0.2">
      <c r="A12" s="6" t="s">
        <v>8</v>
      </c>
      <c r="B12" s="7" t="str">
        <f>""</f>
        <v/>
      </c>
      <c r="C12" s="16" t="str">
        <f>""</f>
        <v/>
      </c>
      <c r="D12" s="13" t="s">
        <v>12</v>
      </c>
      <c r="E12" s="7" t="str">
        <f>$B$13&amp;"-МЗ"</f>
        <v>12-2023-Н/22-ЛГ-МЗ</v>
      </c>
      <c r="F12" s="6" t="str">
        <f t="shared" si="1"/>
        <v>12-2023-Н/22-ЛГ-МЗ.С</v>
      </c>
      <c r="G12" s="7" t="s">
        <v>17</v>
      </c>
      <c r="H12" s="1" t="str">
        <f t="shared" si="5"/>
        <v/>
      </c>
      <c r="I12" s="9" t="str">
        <f t="shared" si="7"/>
        <v/>
      </c>
      <c r="J12" s="9" t="str">
        <f t="shared" si="6"/>
        <v/>
      </c>
      <c r="K12" s="7" t="s">
        <v>41</v>
      </c>
      <c r="L12" s="7" t="s">
        <v>17</v>
      </c>
      <c r="M12" s="7"/>
      <c r="N12" s="14">
        <v>7</v>
      </c>
      <c r="P12" s="11"/>
      <c r="Q12" s="11"/>
      <c r="R12" s="11"/>
      <c r="S12" s="11"/>
    </row>
    <row r="13" spans="1:20" x14ac:dyDescent="0.2">
      <c r="A13" s="6" t="s">
        <v>9</v>
      </c>
      <c r="B13" s="17" t="s">
        <v>150</v>
      </c>
      <c r="C13" s="15"/>
      <c r="D13" s="13" t="s">
        <v>12</v>
      </c>
      <c r="E13" s="7" t="str">
        <f>$B$13&amp;"."&amp;$B$11&amp;"-КМ"</f>
        <v>12-2023-Н/22-ЛГ.23-КМ</v>
      </c>
      <c r="F13" s="6" t="str">
        <f t="shared" ref="F13" si="8">E13&amp;".С"</f>
        <v>12-2023-Н/22-ЛГ.23-КМ.С</v>
      </c>
      <c r="G13" s="7" t="s">
        <v>13</v>
      </c>
      <c r="H13" s="1" t="str">
        <f t="shared" si="5"/>
        <v/>
      </c>
      <c r="I13" s="9" t="str">
        <f t="shared" si="7"/>
        <v/>
      </c>
      <c r="J13" s="9" t="str">
        <f t="shared" si="6"/>
        <v/>
      </c>
      <c r="K13" s="7" t="s">
        <v>42</v>
      </c>
      <c r="L13" s="7" t="s">
        <v>18</v>
      </c>
      <c r="M13" s="7"/>
      <c r="N13" s="14">
        <v>8</v>
      </c>
      <c r="P13" s="11"/>
      <c r="Q13" s="11"/>
      <c r="R13" s="11"/>
      <c r="S13" s="11"/>
    </row>
    <row r="14" spans="1:20" x14ac:dyDescent="0.2">
      <c r="A14" s="6" t="s">
        <v>10</v>
      </c>
      <c r="B14" s="6" t="str">
        <f>"Модернизация мультисервисной сети кабельного вещания и передачи данных с использованием технологий FTTB в городе Новосибирск"</f>
        <v>Модернизация мультисервисной сети кабельного вещания и передачи данных с использованием технологий FTTB в городе Новосибирск</v>
      </c>
      <c r="C14" s="15"/>
      <c r="D14" s="13" t="s">
        <v>12</v>
      </c>
      <c r="E14" s="7" t="str">
        <f>$B$13&amp;"-РРС1"</f>
        <v>12-2023-Н/22-ЛГ-РРС1</v>
      </c>
      <c r="F14" s="6" t="str">
        <f>E14&amp;".С"</f>
        <v>12-2023-Н/22-ЛГ-РРС1.С</v>
      </c>
      <c r="G14" s="7" t="s">
        <v>14</v>
      </c>
      <c r="H14" s="1" t="str">
        <f t="shared" si="5"/>
        <v/>
      </c>
      <c r="I14" s="9" t="str">
        <f t="shared" si="7"/>
        <v/>
      </c>
      <c r="J14" s="9" t="str">
        <f t="shared" si="6"/>
        <v/>
      </c>
      <c r="K14" s="7" t="s">
        <v>43</v>
      </c>
      <c r="L14" s="7" t="s">
        <v>14</v>
      </c>
      <c r="M14" s="7"/>
      <c r="N14" s="14">
        <v>9</v>
      </c>
      <c r="P14" s="11"/>
      <c r="Q14" s="11"/>
      <c r="R14" s="11"/>
      <c r="S14" s="11"/>
    </row>
    <row r="15" spans="1:20" x14ac:dyDescent="0.2">
      <c r="A15" s="6" t="s">
        <v>21</v>
      </c>
      <c r="B15" s="7" t="str">
        <f>""</f>
        <v/>
      </c>
      <c r="C15" s="16" t="str">
        <f>""</f>
        <v/>
      </c>
      <c r="D15" s="13" t="s">
        <v>12</v>
      </c>
      <c r="E15" s="7" t="str">
        <f>$B$13&amp;"-ПЗ"</f>
        <v>12-2023-Н/22-ЛГ-ПЗ</v>
      </c>
      <c r="F15" s="6" t="str">
        <f t="shared" ref="F15:F25" si="9">E15&amp;".С"</f>
        <v>12-2023-Н/22-ЛГ-ПЗ.С</v>
      </c>
      <c r="G15" s="7" t="s">
        <v>19</v>
      </c>
      <c r="H15" s="1" t="str">
        <f t="shared" si="5"/>
        <v/>
      </c>
      <c r="I15" s="9" t="str">
        <f t="shared" si="7"/>
        <v/>
      </c>
      <c r="J15" s="9" t="str">
        <f t="shared" si="6"/>
        <v/>
      </c>
      <c r="K15" s="7" t="s">
        <v>52</v>
      </c>
      <c r="L15" s="7" t="s">
        <v>19</v>
      </c>
      <c r="M15" s="7"/>
      <c r="N15" s="14">
        <v>10</v>
      </c>
      <c r="P15" s="11"/>
      <c r="Q15" s="11"/>
      <c r="R15" s="11"/>
      <c r="S15" s="11"/>
    </row>
    <row r="16" spans="1:20" x14ac:dyDescent="0.2">
      <c r="A16" s="6" t="s">
        <v>11</v>
      </c>
      <c r="B16" s="12" t="s">
        <v>149</v>
      </c>
      <c r="C16" s="12" t="s">
        <v>73</v>
      </c>
      <c r="D16" s="13" t="s">
        <v>12</v>
      </c>
      <c r="E16" s="7" t="str">
        <f>$B$13&amp;"-ПЗУ"</f>
        <v>12-2023-Н/22-ЛГ-ПЗУ</v>
      </c>
      <c r="F16" s="6" t="str">
        <f t="shared" si="9"/>
        <v>12-2023-Н/22-ЛГ-ПЗУ.С</v>
      </c>
      <c r="G16" s="18" t="s">
        <v>46</v>
      </c>
      <c r="H16" s="1" t="str">
        <f t="shared" si="5"/>
        <v/>
      </c>
      <c r="I16" s="9" t="str">
        <f t="shared" si="7"/>
        <v/>
      </c>
      <c r="J16" s="9" t="str">
        <f t="shared" si="6"/>
        <v/>
      </c>
      <c r="K16" s="7" t="s">
        <v>53</v>
      </c>
      <c r="L16" s="18" t="s">
        <v>20</v>
      </c>
      <c r="M16" s="7"/>
      <c r="N16" s="14">
        <v>11</v>
      </c>
      <c r="P16" s="11"/>
      <c r="Q16" s="11"/>
      <c r="R16" s="11"/>
      <c r="S16" s="11"/>
    </row>
    <row r="17" spans="1:19" x14ac:dyDescent="0.2">
      <c r="A17" s="6" t="s">
        <v>2</v>
      </c>
      <c r="B17" s="7" t="str">
        <f>""</f>
        <v/>
      </c>
      <c r="C17" s="7" t="str">
        <f>""</f>
        <v/>
      </c>
      <c r="D17" s="13" t="s">
        <v>12</v>
      </c>
      <c r="E17" s="7" t="str">
        <f>$B$13&amp;"-АР"</f>
        <v>12-2023-Н/22-ЛГ-АР</v>
      </c>
      <c r="F17" s="6" t="str">
        <f t="shared" si="9"/>
        <v>12-2023-Н/22-ЛГ-АР.С</v>
      </c>
      <c r="G17" s="7" t="s">
        <v>44</v>
      </c>
      <c r="H17" s="1" t="str">
        <f t="shared" si="5"/>
        <v/>
      </c>
      <c r="I17" s="9" t="str">
        <f t="shared" si="7"/>
        <v/>
      </c>
      <c r="J17" s="9" t="str">
        <f t="shared" si="6"/>
        <v/>
      </c>
      <c r="K17" s="7" t="s">
        <v>54</v>
      </c>
      <c r="L17" s="7" t="s">
        <v>32</v>
      </c>
      <c r="M17" s="7"/>
      <c r="N17" s="14">
        <v>12</v>
      </c>
      <c r="P17" s="11"/>
      <c r="Q17" s="11"/>
      <c r="R17" s="11"/>
      <c r="S17" s="11"/>
    </row>
    <row r="18" spans="1:19" x14ac:dyDescent="0.2">
      <c r="A18" s="6" t="s">
        <v>151</v>
      </c>
      <c r="B18" s="12" t="s">
        <v>153</v>
      </c>
      <c r="C18" s="12" t="str">
        <f>""</f>
        <v/>
      </c>
      <c r="D18" s="13" t="s">
        <v>12</v>
      </c>
      <c r="E18" s="7" t="str">
        <f>$B$13&amp;"-КР"</f>
        <v>12-2023-Н/22-ЛГ-КР</v>
      </c>
      <c r="F18" s="6" t="str">
        <f t="shared" si="9"/>
        <v>12-2023-Н/22-ЛГ-КР.С</v>
      </c>
      <c r="G18" s="7" t="s">
        <v>63</v>
      </c>
      <c r="H18" s="1" t="str">
        <f t="shared" si="5"/>
        <v/>
      </c>
      <c r="I18" s="9" t="str">
        <f t="shared" si="7"/>
        <v/>
      </c>
      <c r="J18" s="9" t="str">
        <f t="shared" si="6"/>
        <v/>
      </c>
      <c r="K18" s="7" t="s">
        <v>55</v>
      </c>
      <c r="L18" s="7"/>
      <c r="M18" s="7"/>
      <c r="N18" s="14">
        <v>13</v>
      </c>
      <c r="P18" s="11"/>
      <c r="Q18" s="11"/>
      <c r="R18" s="11"/>
      <c r="S18" s="11"/>
    </row>
    <row r="19" spans="1:19" x14ac:dyDescent="0.2">
      <c r="A19" s="6" t="s">
        <v>152</v>
      </c>
      <c r="B19" s="12" t="s">
        <v>154</v>
      </c>
      <c r="C19" s="12" t="str">
        <f>""</f>
        <v/>
      </c>
      <c r="D19" s="13" t="s">
        <v>12</v>
      </c>
      <c r="E19" s="7" t="str">
        <f>$B$13&amp;"-"</f>
        <v>12-2023-Н/22-ЛГ-</v>
      </c>
      <c r="F19" s="6" t="str">
        <f t="shared" si="9"/>
        <v>12-2023-Н/22-ЛГ-.С</v>
      </c>
      <c r="G19" s="7"/>
      <c r="H19" s="1" t="str">
        <f t="shared" si="5"/>
        <v/>
      </c>
      <c r="I19" s="9" t="str">
        <f t="shared" si="7"/>
        <v/>
      </c>
      <c r="J19" s="9" t="str">
        <f t="shared" si="6"/>
        <v/>
      </c>
      <c r="K19" s="7" t="s">
        <v>56</v>
      </c>
      <c r="L19" s="7"/>
      <c r="M19" s="7"/>
      <c r="N19" s="14">
        <v>14</v>
      </c>
      <c r="P19" s="11"/>
      <c r="Q19" s="11"/>
      <c r="R19" s="11"/>
      <c r="S19" s="11"/>
    </row>
    <row r="20" spans="1:19" x14ac:dyDescent="0.2">
      <c r="A20" s="6" t="s">
        <v>141</v>
      </c>
      <c r="B20" s="12" t="s">
        <v>142</v>
      </c>
      <c r="C20" s="13" t="s">
        <v>143</v>
      </c>
      <c r="D20" s="13" t="s">
        <v>12</v>
      </c>
      <c r="E20" s="7" t="str">
        <f>$B$13&amp;"-ПОС"</f>
        <v>12-2023-Н/22-ЛГ-ПОС</v>
      </c>
      <c r="F20" s="6" t="str">
        <f t="shared" si="9"/>
        <v>12-2023-Н/22-ЛГ-ПОС.С</v>
      </c>
      <c r="G20" s="7" t="s">
        <v>45</v>
      </c>
      <c r="H20" s="1" t="str">
        <f t="shared" si="5"/>
        <v/>
      </c>
      <c r="I20" s="9" t="str">
        <f t="shared" si="7"/>
        <v/>
      </c>
      <c r="J20" s="9" t="str">
        <f t="shared" si="6"/>
        <v/>
      </c>
      <c r="K20" s="7" t="s">
        <v>57</v>
      </c>
      <c r="L20" s="7"/>
      <c r="M20" s="7"/>
      <c r="N20" s="14">
        <v>15</v>
      </c>
      <c r="P20" s="11"/>
      <c r="Q20" s="11"/>
      <c r="R20" s="11"/>
      <c r="S20" s="11"/>
    </row>
    <row r="21" spans="1:19" x14ac:dyDescent="0.2">
      <c r="A21" s="6" t="s">
        <v>1</v>
      </c>
      <c r="B21" s="16" t="str">
        <f>""</f>
        <v/>
      </c>
      <c r="C21" s="15"/>
      <c r="D21" s="13" t="s">
        <v>12</v>
      </c>
      <c r="E21" s="7" t="str">
        <f>$B$13&amp;"-ООС"</f>
        <v>12-2023-Н/22-ЛГ-ООС</v>
      </c>
      <c r="F21" s="6" t="str">
        <f t="shared" si="9"/>
        <v>12-2023-Н/22-ЛГ-ООС.С</v>
      </c>
      <c r="G21" s="7" t="s">
        <v>20</v>
      </c>
      <c r="H21" s="1" t="str">
        <f t="shared" si="5"/>
        <v/>
      </c>
      <c r="I21" s="9" t="str">
        <f t="shared" si="7"/>
        <v/>
      </c>
      <c r="J21" s="9" t="str">
        <f t="shared" si="6"/>
        <v/>
      </c>
      <c r="K21" s="7" t="s">
        <v>58</v>
      </c>
      <c r="L21" s="7"/>
      <c r="M21" s="7"/>
      <c r="N21" s="14">
        <v>16</v>
      </c>
      <c r="P21" s="11"/>
      <c r="Q21" s="11"/>
      <c r="R21" s="11"/>
      <c r="S21" s="11"/>
    </row>
    <row r="22" spans="1:19" x14ac:dyDescent="0.2">
      <c r="A22" s="6" t="s">
        <v>6</v>
      </c>
      <c r="B22" s="6" t="s">
        <v>5</v>
      </c>
      <c r="C22" s="15"/>
      <c r="D22" s="13" t="s">
        <v>12</v>
      </c>
      <c r="E22" s="7" t="str">
        <f>$B$13&amp;"-МПБ"</f>
        <v>12-2023-Н/22-ЛГ-МПБ</v>
      </c>
      <c r="F22" s="6" t="str">
        <f t="shared" si="9"/>
        <v>12-2023-Н/22-ЛГ-МПБ.С</v>
      </c>
      <c r="G22" s="7" t="s">
        <v>47</v>
      </c>
      <c r="H22" s="1" t="str">
        <f t="shared" si="5"/>
        <v/>
      </c>
      <c r="I22" s="9" t="str">
        <f t="shared" si="7"/>
        <v/>
      </c>
      <c r="J22" s="9" t="str">
        <f t="shared" si="6"/>
        <v/>
      </c>
      <c r="K22" s="7" t="s">
        <v>59</v>
      </c>
      <c r="L22" s="7"/>
      <c r="M22" s="7"/>
      <c r="N22" s="14">
        <v>17</v>
      </c>
      <c r="P22" s="11"/>
      <c r="Q22" s="11"/>
      <c r="R22" s="11"/>
      <c r="S22" s="11"/>
    </row>
    <row r="23" spans="1:19" x14ac:dyDescent="0.2">
      <c r="A23" s="6" t="s">
        <v>0</v>
      </c>
      <c r="B23" s="6" t="s">
        <v>148</v>
      </c>
      <c r="C23" s="6" t="s">
        <v>75</v>
      </c>
      <c r="D23" s="13" t="s">
        <v>12</v>
      </c>
      <c r="E23" s="7" t="str">
        <f>$B$13&amp;"-РНС"</f>
        <v>12-2023-Н/22-ЛГ-РНС</v>
      </c>
      <c r="F23" s="6" t="str">
        <f t="shared" si="9"/>
        <v>12-2023-Н/22-ЛГ-РНС.С</v>
      </c>
      <c r="G23" s="7" t="s">
        <v>65</v>
      </c>
      <c r="H23" s="1" t="str">
        <f t="shared" si="5"/>
        <v/>
      </c>
      <c r="I23" s="9" t="str">
        <f t="shared" si="7"/>
        <v/>
      </c>
      <c r="J23" s="9" t="str">
        <f t="shared" si="6"/>
        <v/>
      </c>
      <c r="K23" s="7" t="s">
        <v>60</v>
      </c>
      <c r="L23" s="7"/>
      <c r="M23" s="7"/>
      <c r="N23" s="14">
        <v>18</v>
      </c>
      <c r="P23" s="11"/>
      <c r="Q23" s="11"/>
      <c r="R23" s="11"/>
      <c r="S23" s="11"/>
    </row>
    <row r="24" spans="1:19" x14ac:dyDescent="0.2">
      <c r="A24" s="6"/>
      <c r="B24" s="6"/>
      <c r="C24" s="12"/>
      <c r="D24" s="13" t="s">
        <v>12</v>
      </c>
      <c r="E24" s="7" t="str">
        <f>$B$13&amp;"-СЗЗ"</f>
        <v>12-2023-Н/22-ЛГ-СЗЗ</v>
      </c>
      <c r="F24" s="6" t="str">
        <f t="shared" si="9"/>
        <v>12-2023-Н/22-ЛГ-СЗЗ.С</v>
      </c>
      <c r="G24" s="7" t="s">
        <v>64</v>
      </c>
      <c r="H24" s="1" t="str">
        <f t="shared" si="5"/>
        <v/>
      </c>
      <c r="I24" s="9" t="str">
        <f t="shared" si="7"/>
        <v/>
      </c>
      <c r="J24" s="9" t="str">
        <f t="shared" si="6"/>
        <v/>
      </c>
      <c r="K24" s="7" t="s">
        <v>61</v>
      </c>
      <c r="L24" s="7"/>
      <c r="M24" s="7"/>
      <c r="N24" s="14">
        <v>19</v>
      </c>
      <c r="P24" s="11"/>
      <c r="Q24" s="11"/>
      <c r="R24" s="11"/>
      <c r="S24" s="11"/>
    </row>
    <row r="25" spans="1:19" x14ac:dyDescent="0.2">
      <c r="A25" s="6"/>
      <c r="B25" s="6"/>
      <c r="C25" s="19"/>
      <c r="D25" s="13" t="s">
        <v>12</v>
      </c>
      <c r="E25" s="7" t="str">
        <f>$B$13&amp;"-СЗЗ1"</f>
        <v>12-2023-Н/22-ЛГ-СЗЗ1</v>
      </c>
      <c r="F25" s="6" t="str">
        <f t="shared" si="9"/>
        <v>12-2023-Н/22-ЛГ-СЗЗ1.С</v>
      </c>
      <c r="G25" s="7" t="s">
        <v>66</v>
      </c>
      <c r="H25" s="1" t="str">
        <f t="shared" si="5"/>
        <v/>
      </c>
      <c r="I25" s="9" t="str">
        <f t="shared" si="7"/>
        <v/>
      </c>
      <c r="J25" s="9" t="str">
        <f t="shared" si="6"/>
        <v/>
      </c>
      <c r="K25" s="7" t="s">
        <v>62</v>
      </c>
      <c r="L25" s="7"/>
      <c r="M25" s="7"/>
      <c r="N25" s="14">
        <v>20</v>
      </c>
      <c r="P25" s="11"/>
      <c r="Q25" s="11"/>
      <c r="R25" s="11"/>
      <c r="S25" s="11"/>
    </row>
    <row r="26" spans="1:19" x14ac:dyDescent="0.2">
      <c r="A26" s="6" t="s">
        <v>140</v>
      </c>
      <c r="B26" s="20" t="str">
        <f>"Фрагмент плана "&amp;B20&amp;" здания по адресу: "&amp;C18&amp;"
"&amp;"М1:100"</f>
        <v>Фрагмент плана первого этажа здания по адресу: 
М1:100</v>
      </c>
      <c r="C26" s="20" t="str">
        <f>"Фрагмент плана "&amp;C20&amp;" здания по адресу: "&amp;C18&amp;"
"&amp;"М1:100"</f>
        <v>Фрагмент плана подвала здания по адресу: 
М1:100</v>
      </c>
      <c r="D26" s="21" t="str">
        <f>"Дверь подъезда №"&amp;B18</f>
        <v>Дверь подъезда №ул. Державина</v>
      </c>
      <c r="E26" s="21" t="str">
        <f>"Схема расположения оборудования на двери подъезда №"&amp;B18&amp;"
"&amp;"М1:25"</f>
        <v>Схема расположения оборудования на двери подъезда №ул. Державина
М1:25</v>
      </c>
      <c r="F26" s="21" t="str">
        <f>"Схема внутренней домофонной распределительной сети "&amp;B18&amp;"-го подъезда"</f>
        <v>Схема внутренней домофонной распределительной сети ул. Державина-го подъезда</v>
      </c>
      <c r="G26" s="21" t="str">
        <f>"Существующий оптический узел"&amp;"
"&amp;B18&amp;" подъезда, технический этаж"</f>
        <v>Существующий оптический узел
ул. Державина подъезда, технический этаж</v>
      </c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</row>
    <row r="27" spans="1:19" x14ac:dyDescent="0.2">
      <c r="C27" s="15"/>
      <c r="F27" s="10" t="s">
        <v>144</v>
      </c>
      <c r="H27" s="14"/>
      <c r="J27" s="22"/>
    </row>
    <row r="28" spans="1:19" x14ac:dyDescent="0.2">
      <c r="B28" s="23"/>
      <c r="C28" s="15"/>
      <c r="D28" s="14"/>
      <c r="H28" s="14"/>
      <c r="J28" s="22"/>
    </row>
    <row r="31" spans="1:19" x14ac:dyDescent="0.2">
      <c r="A31" s="6" t="s">
        <v>23</v>
      </c>
      <c r="B31" s="7"/>
      <c r="C31" s="16" t="str">
        <f>C12</f>
        <v/>
      </c>
      <c r="D31" s="24">
        <v>1</v>
      </c>
      <c r="E31" s="6" t="s">
        <v>8</v>
      </c>
      <c r="F31" s="31" t="str">
        <f>IF(D31=1,E31,IF(D32=1,E32,IF(D33=1,E33,IF(D34=1,E34,IF(D35=1,E36,IF(D36=1,E35,""))))))</f>
        <v>ГИП</v>
      </c>
      <c r="G31" s="31"/>
      <c r="H31" s="31" t="str">
        <f t="shared" ref="H31:H36" si="10">IF($E$33=F31,$B$17,IF($E$34=F31,$B$9,IF($E$32=F31,$B$15,IF($E$36=F31,$B$32,IF($E$31=F31,$B$12,IF(E35=F31,"",""))))))</f>
        <v/>
      </c>
      <c r="I31" s="31"/>
      <c r="J31" s="24">
        <v>1</v>
      </c>
      <c r="K31" s="6" t="s">
        <v>8</v>
      </c>
      <c r="L31" s="31" t="str">
        <f>IF(J31=1,K31,IF(J32=1,K32,IF(J33=1,K33,IF(J34=1,K34,IF(J35=1,K35,IF(J36=1,K36,""))))))</f>
        <v>ГИП</v>
      </c>
      <c r="M31" s="31"/>
      <c r="N31" s="31" t="str">
        <f t="shared" ref="N31:N35" si="11">IF($E$33=L31,$B$17,IF($E$34=L31,$B$9,IF($E$32=L31,$B$15,IF($E$36=L31,$B$32,IF($E$31=L31,$B$12,IF(K35=L31,"",""))))))</f>
        <v/>
      </c>
      <c r="O31" s="31"/>
    </row>
    <row r="32" spans="1:19" x14ac:dyDescent="0.2">
      <c r="A32" s="6" t="s">
        <v>24</v>
      </c>
      <c r="B32" s="7" t="s">
        <v>23</v>
      </c>
      <c r="D32" s="24">
        <v>2</v>
      </c>
      <c r="E32" s="6" t="s">
        <v>21</v>
      </c>
      <c r="F32" s="31" t="str">
        <f>IF(D31=2,E31,IF(D32=2,E32,IF(D33=2,E33,IF(D34=2,E34,IF(D35=2,E36,IF(D36=2,E35,""))))))</f>
        <v>Н. контр.</v>
      </c>
      <c r="G32" s="31"/>
      <c r="H32" s="31" t="str">
        <f t="shared" si="10"/>
        <v/>
      </c>
      <c r="I32" s="31"/>
      <c r="J32" s="24">
        <v>2</v>
      </c>
      <c r="K32" s="6" t="s">
        <v>21</v>
      </c>
      <c r="L32" s="31" t="str">
        <f>IF(J31=2,K31,IF(J32=2,K32,IF(J33=2,K33,IF(J34=2,K34,IF(J35=2,K35,IF(J36=2,K36,""))))))</f>
        <v>Н. контр.</v>
      </c>
      <c r="M32" s="31"/>
      <c r="N32" s="31" t="str">
        <f t="shared" si="11"/>
        <v/>
      </c>
      <c r="O32" s="31"/>
    </row>
    <row r="33" spans="1:18" x14ac:dyDescent="0.2">
      <c r="A33" s="6" t="s">
        <v>25</v>
      </c>
      <c r="B33" s="7" t="s">
        <v>51</v>
      </c>
      <c r="D33" s="24">
        <v>5</v>
      </c>
      <c r="E33" s="6" t="s">
        <v>2</v>
      </c>
      <c r="F33" s="31" t="str">
        <f>IF(D31=3,E31,IF(D32=3,E32,IF(D33=3,E33,IF(D34=3,E34,IF(D35=3,E36,IF(D36=3,E35,""))))))</f>
        <v/>
      </c>
      <c r="G33" s="31"/>
      <c r="H33" s="31" t="str">
        <f t="shared" si="10"/>
        <v/>
      </c>
      <c r="I33" s="31"/>
      <c r="J33" s="24">
        <v>4</v>
      </c>
      <c r="K33" s="6" t="s">
        <v>2</v>
      </c>
      <c r="L33" s="31" t="str">
        <f>IF(J31=3,K31,IF(J32=3,K32,IF(J33=3,K33,IF(J34=3,K34,IF(J35=3,K35,IF(J36=3,K36,""))))))</f>
        <v/>
      </c>
      <c r="M33" s="31"/>
      <c r="N33" s="31" t="str">
        <f t="shared" si="11"/>
        <v/>
      </c>
      <c r="O33" s="31"/>
    </row>
    <row r="34" spans="1:18" x14ac:dyDescent="0.2">
      <c r="A34" s="6" t="s">
        <v>26</v>
      </c>
      <c r="B34" s="7" t="s">
        <v>27</v>
      </c>
      <c r="D34" s="24">
        <v>6</v>
      </c>
      <c r="E34" s="6" t="s">
        <v>22</v>
      </c>
      <c r="F34" s="31" t="str">
        <f>IF(D31=4,E31,IF(D32=4,E32,IF(D33=4,E33,IF(D34=4,E34,IF(D35=4,E36,IF(D36=4,E35,""))))))</f>
        <v/>
      </c>
      <c r="G34" s="31"/>
      <c r="H34" s="31" t="str">
        <f t="shared" si="10"/>
        <v/>
      </c>
      <c r="I34" s="31"/>
      <c r="J34" s="24">
        <v>5</v>
      </c>
      <c r="K34" s="6" t="s">
        <v>22</v>
      </c>
      <c r="L34" s="31" t="str">
        <f>IF(J31=4,K31,IF(J32=4,K32,IF(J33=4,K33,IF(J34=4,K34,IF(J35=4,K36,IF(J36=4,K35,""))))))</f>
        <v>Проверил</v>
      </c>
      <c r="M34" s="31"/>
      <c r="N34" s="31" t="str">
        <f t="shared" si="11"/>
        <v/>
      </c>
      <c r="O34" s="31"/>
    </row>
    <row r="35" spans="1:18" x14ac:dyDescent="0.2">
      <c r="A35" s="6" t="s">
        <v>28</v>
      </c>
      <c r="B35" s="7" t="str">
        <f>"В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на"&amp;" патентную чистоту и конкурентоспособность, так как они включены в Российский Федеральный Фонд массового применения."&amp;"
"&amp;"Рабочие чертежи разработаны в соответствии с нормами, правилами и стандартами, действующими на территории РФ."&amp;"
"&amp;B33&amp;"                           ___________________                       "&amp;C12&amp;" "&amp;B12</f>
        <v xml:space="preserve">В проекте приняты технические решения по действующим типовым проектным решениям, по типовым материалам для проектирования, сериям, ГОСТам и СНиПам, которые не требуют проверки на патентную чистоту и конкурентоспособность, так как они включены в Российский Федеральный Фонд массового применения.
Рабочие чертежи разработаны в соответствии с нормами, правилами и стандартами, действующими на территории РФ.
Главный инженер проекта                           ___________________                        </v>
      </c>
      <c r="C35" s="15"/>
      <c r="D35" s="24" t="s">
        <v>12</v>
      </c>
      <c r="E35" s="9" t="str">
        <f>""</f>
        <v/>
      </c>
      <c r="F35" s="31" t="str">
        <f>IF(D31=5,E31,IF(D32=5,E32,IF(D33=5,E33,IF(D34=5,E34,IF(D35=5,E36,IF(D36=5,E35,""))))))</f>
        <v>Проверил</v>
      </c>
      <c r="G35" s="31"/>
      <c r="H35" s="31" t="str">
        <f t="shared" si="10"/>
        <v/>
      </c>
      <c r="I35" s="31"/>
      <c r="J35" s="24" t="str">
        <f>D35</f>
        <v>-</v>
      </c>
      <c r="K35" s="9"/>
      <c r="L35" s="31" t="str">
        <f>IF(J31=5,K31,IF(J32=5,K32,IF(J33=5,K33,IF(J34=5,K34,IF(J35=5,K35,IF(J36=5,K36,""))))))</f>
        <v>Разработал</v>
      </c>
      <c r="M35" s="31"/>
      <c r="N35" s="31" t="str">
        <f t="shared" si="11"/>
        <v/>
      </c>
      <c r="O35" s="31"/>
    </row>
    <row r="36" spans="1:18" x14ac:dyDescent="0.2">
      <c r="B36" s="11"/>
      <c r="C36" s="11"/>
      <c r="D36" s="14" t="s">
        <v>12</v>
      </c>
      <c r="E36" s="22" t="s">
        <v>29</v>
      </c>
      <c r="F36" s="32" t="str">
        <f>IF(D31=6,E31,IF(D32=6,E32,IF(D33=6,E33,IF(D34=6,E34,IF(D35=6,E36,IF(D36=6,E35,""))))))</f>
        <v>Разработал</v>
      </c>
      <c r="G36" s="32"/>
      <c r="H36" s="32" t="str">
        <f t="shared" si="10"/>
        <v/>
      </c>
      <c r="I36" s="32"/>
      <c r="J36" s="14"/>
      <c r="K36" s="22"/>
      <c r="L36" s="32"/>
      <c r="M36" s="32"/>
      <c r="N36" s="32"/>
      <c r="O36" s="32"/>
    </row>
    <row r="38" spans="1:18" x14ac:dyDescent="0.2">
      <c r="A38" s="33" t="s">
        <v>48</v>
      </c>
      <c r="D38" s="24">
        <v>1</v>
      </c>
      <c r="E38" s="6" t="str">
        <f>B32</f>
        <v>Генеральный директор</v>
      </c>
      <c r="F38" s="6" t="str">
        <f>IF(D38=1,E38,IF(D39=1,E39,IF(D40=1,E40,"")))</f>
        <v>Генеральный директор</v>
      </c>
      <c r="G38" s="6" t="s">
        <v>157</v>
      </c>
      <c r="H38" s="20" t="s">
        <v>156</v>
      </c>
    </row>
    <row r="39" spans="1:18" x14ac:dyDescent="0.2">
      <c r="A39" s="33"/>
      <c r="D39" s="24">
        <v>2</v>
      </c>
      <c r="E39" s="30" t="str">
        <f>B33</f>
        <v>Главный инженер проекта</v>
      </c>
      <c r="F39" s="6" t="str">
        <f>IF(D38=2,E38,IF(D39=2,E39,IF(D40=2,E40,"")))</f>
        <v>Главный инженер проекта</v>
      </c>
      <c r="G39" s="6" t="s">
        <v>157</v>
      </c>
      <c r="H39" s="20" t="s">
        <v>156</v>
      </c>
    </row>
    <row r="40" spans="1:18" x14ac:dyDescent="0.2">
      <c r="A40" s="33"/>
      <c r="C40" s="15"/>
      <c r="D40" s="24" t="s">
        <v>12</v>
      </c>
      <c r="E40" s="30" t="str">
        <f>B34</f>
        <v>Инженер-проектировщик</v>
      </c>
      <c r="F40" s="6" t="str">
        <f>IF(D38=3,E38,IF(D39=3,E39,IF(D40=3,E40,"")))</f>
        <v/>
      </c>
      <c r="G40" s="6"/>
      <c r="H40" s="6" t="str">
        <f>IF(F40=E38,C31&amp;" "&amp;B31,IF(F40=E39,C12&amp;" "&amp;B12,IF(F40=E40,C9&amp;" "&amp;B9,"")))</f>
        <v/>
      </c>
    </row>
    <row r="41" spans="1:18" x14ac:dyDescent="0.2">
      <c r="D41" s="10" t="s">
        <v>4</v>
      </c>
    </row>
    <row r="42" spans="1:18" x14ac:dyDescent="0.2">
      <c r="A42" s="9" t="s">
        <v>33</v>
      </c>
      <c r="B42" s="14"/>
      <c r="C42" s="14"/>
      <c r="D42" s="14"/>
      <c r="E42" s="14"/>
      <c r="F42" s="14"/>
      <c r="G42" s="25"/>
      <c r="H42" s="23"/>
    </row>
    <row r="43" spans="1:18" x14ac:dyDescent="0.2">
      <c r="A43" s="21" t="s">
        <v>76</v>
      </c>
      <c r="B43" s="15" t="s">
        <v>77</v>
      </c>
      <c r="C43" s="15" t="s">
        <v>78</v>
      </c>
      <c r="D43" s="15" t="s">
        <v>81</v>
      </c>
      <c r="E43" s="15"/>
      <c r="F43" s="15"/>
      <c r="G43" s="15"/>
      <c r="H43" s="15" t="s">
        <v>82</v>
      </c>
      <c r="I43" s="15" t="s">
        <v>30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">
      <c r="A44" s="21" t="s">
        <v>98</v>
      </c>
      <c r="B44" s="19">
        <v>236</v>
      </c>
      <c r="C44" s="21" t="s">
        <v>79</v>
      </c>
      <c r="D44" s="26" t="s">
        <v>101</v>
      </c>
      <c r="E44" s="21" t="str">
        <f>A44</f>
        <v>Антенна проект. 1</v>
      </c>
      <c r="F44" s="21" t="str">
        <f>A45</f>
        <v>Антенна проект. 2</v>
      </c>
      <c r="G44" s="21" t="str">
        <f>B44&amp;"°"</f>
        <v>236°</v>
      </c>
      <c r="H44" s="19">
        <v>6140</v>
      </c>
      <c r="I44" s="19" t="s">
        <v>103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">
      <c r="A45" s="21" t="s">
        <v>99</v>
      </c>
      <c r="B45" s="21">
        <f>IF(B44&gt;180,B44-180,180+B44)</f>
        <v>56</v>
      </c>
      <c r="C45" s="21" t="s">
        <v>80</v>
      </c>
      <c r="D45" s="26" t="s">
        <v>100</v>
      </c>
      <c r="E45" s="6" t="str">
        <f>"Азимут "&amp;B44&amp;"°"&amp;C44</f>
        <v>Азимут 236°на РРС-2</v>
      </c>
      <c r="F45" s="21" t="str">
        <f>"Азимут "&amp;B45&amp;"°"&amp;C45</f>
        <v>Азимут 56°на РРС-1</v>
      </c>
      <c r="G45" s="21" t="str">
        <f>B45&amp;"°"</f>
        <v>56°</v>
      </c>
      <c r="H45" s="21" t="str">
        <f>"L="&amp;H44&amp;" м"</f>
        <v>L=6140 м</v>
      </c>
      <c r="I45" s="19" t="s">
        <v>102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">
      <c r="A46" s="9" t="s">
        <v>33</v>
      </c>
      <c r="B46" s="10" t="s">
        <v>92</v>
      </c>
      <c r="C46" s="10" t="s">
        <v>93</v>
      </c>
      <c r="F46" s="15"/>
      <c r="G46" s="15"/>
      <c r="H46" s="11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">
      <c r="A47" s="6" t="s">
        <v>85</v>
      </c>
      <c r="B47" s="19" t="s">
        <v>12</v>
      </c>
      <c r="C47" s="12" t="s">
        <v>88</v>
      </c>
      <c r="D47" s="11"/>
      <c r="E47" s="21" t="str">
        <f>"Строительная длина L1-01. Тип кабеля "&amp;C47&amp;"."&amp;" L1-01 = "&amp;B47&amp;"м"</f>
        <v>Строительная длина L1-01. Тип кабеля ДОТс-П-08У-7кН. L1-01 = -м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">
      <c r="A48" s="6" t="s">
        <v>89</v>
      </c>
      <c r="B48" s="19">
        <v>25</v>
      </c>
      <c r="C48" s="10" t="s">
        <v>95</v>
      </c>
      <c r="E48" s="21" t="s">
        <v>97</v>
      </c>
      <c r="F48" s="21" t="s">
        <v>97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">
      <c r="A49" s="6" t="s">
        <v>90</v>
      </c>
      <c r="B49" s="19">
        <v>15</v>
      </c>
      <c r="C49" s="10" t="s">
        <v>91</v>
      </c>
      <c r="E49" s="21" t="str">
        <f>C48</f>
        <v>UTP 4x2x0.52</v>
      </c>
      <c r="F49" s="21" t="str">
        <f>C49</f>
        <v>ВВГнг 3х1,5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">
      <c r="A50" s="6" t="s">
        <v>96</v>
      </c>
      <c r="B50" s="12" t="s">
        <v>12</v>
      </c>
      <c r="E50" s="21" t="str">
        <f>"по стене L="&amp;B48&amp;"м"</f>
        <v>по стене L=25м</v>
      </c>
      <c r="F50" s="21" t="str">
        <f>"по стене L="&amp;B49&amp;"м"</f>
        <v>по стене L=15м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spans="1:18" x14ac:dyDescent="0.2">
      <c r="A51" s="21" t="s">
        <v>94</v>
      </c>
      <c r="B51" s="19">
        <v>70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18" x14ac:dyDescent="0.2">
      <c r="A52" s="11"/>
      <c r="B52" s="11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spans="1:18" x14ac:dyDescent="0.2">
      <c r="A54" s="21" t="s">
        <v>83</v>
      </c>
      <c r="B54" s="21" t="s">
        <v>84</v>
      </c>
      <c r="C54" s="21" t="s">
        <v>85</v>
      </c>
      <c r="D54" s="21" t="s">
        <v>86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1:18" x14ac:dyDescent="0.2">
      <c r="A55" s="6" t="str">
        <f>A56&amp;"
"&amp;IF(B55="+",B56,IF(C55="+",C56,IF(D55="+",D56,"")))&amp;"
"&amp;IF(B55="+",B57,IF(C55="+",C57,IF(D55="+",D57,"")))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77, 77/1, 77/2.
    4. Проектом предусмотрено размещение оборудования ПАО "МТС" и присоединение к сети 77, 77/1, 77/2.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
    9. На АМС Фрагмент плана первого этажа здания по адресу: 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
М1:100 (азимут антенны 236°, высота установки +35,000 м) по адресу: ул. Державина.
    10. Инжектор PoE и грозоразрядник установить на кабельросте в существующей аппаратной 77, 77/1, 77/2.
    11. Прокладку кабеля FTP 4x2 24AWG от оконечной станции РРС до внутреннего оборудования выполнить по сущ. кабельной трассе 77, 77/1, 77/2 с креплением атмосферными стяжками.
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B55" s="27" t="s">
        <v>87</v>
      </c>
      <c r="C55" s="27" t="s">
        <v>12</v>
      </c>
      <c r="D55" s="27" t="s">
        <v>12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x14ac:dyDescent="0.2">
      <c r="A56" s="21" t="str">
        <f>"    1. Настоящие рабочая документация "&amp;B14&amp;". Региональный узел доступа: "&amp;B24&amp;" "&amp;C25&amp;" составлена на основании технического задания, утвержденного Министерством цифрового развития, связи и массовых коммуникаций Российской Федерации."&amp;"
"&amp;"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"&amp;B24&amp;" "&amp;C25&amp;"."&amp;"
"&amp;"    3. Подключение Узла доступа производится по договору через арендуемую сеть "&amp;B19&amp;"."&amp;"
"&amp;"    4. Проектом предусмотрено размещение оборудования "&amp;B23&amp;" и присоединение к сети "&amp;B19&amp;"."&amp;"
"&amp;"    5. Оборудование размещается в проектируемом домовом шкафу (ДШ)."&amp;"
"&amp;"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ЩР."&amp;"
"&amp;"    7. Присоединить проектируемое оборудование к существующему контуру заземления."&amp;"
"&amp;"    8. Электропитающий кабель ВВГнг-3х1,5 от точки подключения до проектируемого шкафа прокладывать вдоль стены в кабель-канале."</f>
        <v xml:space="preserve">    1. Настоящие рабочая документация Модернизация мультисервисной сети кабельного вещания и передачи данных с использованием технологий FTTB в городе Новосибирск. Региональный узел доступа:   составлена на основании технического задания, утвержденного Министерством цифрового развития, связи и массовых коммуникаций Российской Федерации.
    2. В донном томе рабочей документации приведены рабочие чертежи на строительство Узла доступа к Городской универсальной телекоммуникационной сети по адресу:  .
    3. Подключение Узла доступа производится по договору через арендуемую сеть 77, 77/1, 77/2.
    4. Проектом предусмотрено размещение оборудования ПАО "МТС" и присоединение к сети 77, 77/1, 77/2.
    5. Оборудование размещается в проектируемом домовом шкафу (ДШ).
    6. Электроснабжение проектируемого оборудования выполняется от существующей системы электроснабжения здания. Точка подключения - распределительный щит ЩР.
    7. Присоединить проектируемое оборудование к существующему контуру заземления.
    8. Электропитающий кабель ВВГнг-3х1,5 от точки подключения до проектируемого шкафа прокладывать вдоль стены в кабель-канале.</v>
      </c>
      <c r="B56" s="6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"&amp;B26&amp;"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</f>
        <v xml:space="preserve">    9. На АМС Фрагмент плана первого этажа здания по адресу: 
М1:100 установить направленную антенну РРС с блоком оконечной станции с креплением к проектируемой трубостойке, монтируемой на существующей АМС Фрагмент плана первого этажа здания по адресу: 
М1:100 (азимут антенны 236°, высота установки +35,000 м) по адресу: ул. Державина.
    10. Инжектор PoE и грозоразрядник установить на кабельросте в существующей аппаратной 77, 77/1, 77/2.
    11. Прокладку кабеля FTP 4x2 24AWG от оконечной станции РРС до внутреннего оборудования выполнить по сущ. кабельной трассе 77, 77/1, 77/2 с креплением атмосферными стяжками.</v>
      </c>
      <c r="C56" s="21" t="str">
        <f>"    9. При прокладке ВО кабеля выдерживать радиус изгиба кабеля не менее 260 мм."&amp;"
"&amp;"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12. Волокна оптического кабеля оконцовываются оптическими SC разъемами методом ВО сварки согласно схеме распределения оптических волокон."&amp;"
"&amp;"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При прокладке ВО кабеля выдерживать радиус изгиба кабеля не менее 260 мм.
    10.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11.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12. Волокна оптического кабеля оконцовываются оптическими SC разъемами методом ВО сварки согласно схеме распределения оптических волокон.
    13.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D56" s="21" t="str">
        <f>"    9. На АМС "&amp;B26&amp;" установить направленную антенну РРС с блоком оконечной станции с креплением к проектируемой трубостойке, монтируемой на существующей АМС "&amp;B19&amp;" (азимут антенны "&amp;G44&amp;", высота установки "&amp;D44&amp;" м) по адресу: "&amp;B18&amp;"."&amp;"
"&amp;"    10. Инжектор PoE и грозоразрядник установить на кабельросте в существующей аппаратной "&amp;B19&amp;"."&amp;"
"&amp;"    11. Прокладку кабеля FTP 4x2 24AWG от оконечной станции РРС до внутреннего оборудования выполнить по сущ. кабельной трассе "&amp;B19&amp;" с креплением атмосферными стяжками."&amp;"
"&amp;"    10. При прокладке ВО кабеля выдерживать радиус изгиба кабеля не менее 260 мм."&amp;"
"&amp;"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волокон."&amp;"
"&amp;"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"&amp;"Сварку оптических волокон в кроссах выполнять согласно схеме распределения оптических волокон."&amp;"
"&amp;"    15. Волокна оптического кабеля оконцовываются оптическими SC разъемами методом ВО сварки согласно схеме распределения оптических волокон."&amp;"
"&amp;"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узлов."</f>
        <v xml:space="preserve">    9. На АМС Фрагмент плана первого этажа здания по адресу: 
М1:100 установить направленную антенну РРС с блоком оконечной станции с креплением к проектируемой трубостойке, монтируемой на существующей АМС 77, 77/1, 77/2 (азимут антенны 236°, высота установки +35,000 м) по адресу: ул. Державина.
    10. Инжектор PoE и грозоразрядник установить на кабельросте в существующей аппаратной 77, 77/1, 77/2.
    11. Прокладку кабеля FTP 4x2 24AWG от оконечной станции РРС до внутреннего оборудования выполнить по сущ. кабельной трассе 77, 77/1, 77/2 с креплением атмосферными стяжками.
    10. При прокладке ВО кабеля выдерживать радиус изгиба кабеля не менее 260 мм.
    13. После прокладки, на кабель нанести маркировку с указанием конечных коммуникационных узлов, в соответствии со схемой распределения оптических волокон.
    14. Для подключения к оптической распределенной сети использовать коммутационно-распределительные устройства типа КРС, устанавливаемые в стойку раму шкафа МКУ. Сварку оптических волокон в кроссах выполнять согласно схеме распределения оптических волокон.
    15. Волокна оптического кабеля оконцовываются оптическими SC разъемами методом ВО сварки согласно схеме распределения оптических волокон.
    16. В помещениях ВО кабель проложить в ПВХ гофротрубе, вдоль стен под потолком не менее 2,3 м от пола и 0,1 м от потолка с креплением к стене. После прокладки, на кабель нанести маркировку с указанием конечных коммуникационных узлов.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">
      <c r="A57" s="15"/>
      <c r="B57" s="21" t="str">
        <f>"    12.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13. К работе допускаются только лица, прошедшие специальное обучение монтажу и измерениям кабеля."&amp;"
"&amp;"    14.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15.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12.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13. К работе допускаются только лица, прошедшие специальное обучение монтажу и измерениям кабеля.
    14.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15.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C57" s="21" t="str">
        <f>"    14.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15. К работе допускаются только лица, прошедшие специальное обучение монтажу и измерениям кабеля."&amp;"
"&amp;"    16.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17.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14.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15. К работе допускаются только лица, прошедшие специальное обучение монтажу и измерениям кабеля.
    16.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17.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D57" s="21" t="str">
        <f>"    17. Охрана окружающей среды. Работы по проектируемым сооружениям не оказывают вредного воздействия на окружающую среду, поэтому специальных"&amp;" мероприятий по ее охране не предусматривается."&amp;"
"&amp;"    18. К работе допускаются только лица, прошедшие специальное обучение монтажу и измерениям кабеля."&amp;"
"&amp;"    19. Прокладку и монтаж волоконно-оптических кабелей необходимо выполнить в соответствии с ОСТН 600-93 "&amp;"''Отраслевые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г."&amp;"
"&amp;"    20. Безопасность персонала, обслуживающего оборудование сети обеспечиваются:"&amp;"
"&amp;"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45.120-2000);"&amp;"
"&amp;"    - прокладку оптического кабеля разрешается производить при температуре окружающей среды не ниже -10°С;"&amp;"
"&amp;"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механизма;"&amp;"
"&amp;"    - рабочие допускаются к производству работ только после прохождения инструктажа по технике безопасности;"&amp;"
"&amp;"    При производстве работ необходимо обязательное соблюдение действий правил безопасности, изложенных в следующих документах:"&amp;"
"&amp;"    - ВСН-604-III-87 ''Техника безопасности при строительстве линейно-кабельных сооружений'', утвержденные приказом Минсвязи СССР от 30.06.87 г. №3325;"&amp;"
"&amp;"    - ВСН-116-93 ''Инструкция по проектированию линейно-кабельных сооружений связи'', утвержденные приказом Минсвязи России от 15.07.93 г. №168;"&amp;"
"&amp;"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г."&amp;"
"&amp;"    - Правилами по охране труда при работе на кабельных линиях и проводного вещания ПОТ РО-45-005-95."&amp;"
"&amp;"    Без представителей владельцев подземных и наземных сооружений производить какие-либо строительно-монтажные работы  ЗАПРЕЩАЕТСЯ."&amp;"
"&amp;"    Эксплуатацию сети производить в соответствии с ''Правилами по охране труда при работах на телефонных станциях и телеграфах''. "&amp;"ПОТ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РФ."</f>
        <v xml:space="preserve">    17. Охрана окружающей среды. Работы по проектируемым сооружениям не оказывают вредного воздействия на окружающую среду, поэтому специальных мероприятий по ее охране не предусматривается.
    18. К работе допускаются только лица, прошедшие специальное обучение монтажу и измерениям кабеля.
    19. Прокладку и монтаж волоконно-оптических кабелей необходимо выполнить в соответствии с ОСТН 600-93 ''Отраслевые строительно-технологические нормы на монтаж сооружений и устройств связи, радиовещания и телевидения'' утв. МС РФ от 15.07.93 г. и ''Руководством по строительству линейных сооружений местных сетей связи'' утв. МС РФ от 21.12.95 г.
    20. Безопасность персонала, обслуживающего оборудование сети обеспечиваются:
    - размещением оборудования в помещениях так, чтобы получить свободный доступ к оборудованию при монтаже и эксплуатации, в соответствии с требованиями НТП 112-200 (РД 45.120-2000);
    - прокладку оптического кабеля разрешается производить при температуре окружающей среды не ниже -10°С;
    - при использовании средств малой механизации для прокладки кабеля, обслуживающий персонал должен строго выполнять все правила техники безопасности, установленные для данного механизма;
    - рабочие допускаются к производству работ только после прохождения инструктажа по технике безопасности;
    При производстве работ необходимо обязательное соблюдение действий правил безопасности, изложенных в следующих документах:
    - ВСН-604-III-87 ''Техника безопасности при строительстве линейно-кабельных сооружений'', утвержденные приказом Минсвязи СССР от 30.06.87 г. №3325;
    - ВСН-116-93 ''Инструкция по проектированию линейно-кабельных сооружений связи'', утвержденные приказом Минсвязи России от 15.07.93 г. №168;
    - ВСН-01-83 ''Ведомственные строительные нормы. Техника безопасности при строительстве сооружений связи''. Ч.1. ''Техника безопасности при организации строительного производства''. Кн. 1,2 утв. Минсвязи СССР 27.02.84 г.
    - Правилами по охране труда при работе на кабельных линиях и проводного вещания ПОТ РО-45-005-95.
    Без представителей владельцев подземных и наземных сооружений производить какие-либо строительно-монтажные работы  ЗАПРЕЩАЕТСЯ.
    Эксплуатацию сети производить в соответствии с ''Правилами по охране труда при работах на телефонных станциях и телеграфах''. ПОТ РО-45-007-96. Минсвязи РФ и другими документами согласно ''Перечню основных нормативных документов по безопасности труда предприятий и организаций'', а также стандартами РФ.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spans="1:1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spans="1:18" x14ac:dyDescent="0.2">
      <c r="A62" s="15" t="s">
        <v>105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t="56.25" x14ac:dyDescent="0.2">
      <c r="A63" s="21" t="s">
        <v>106</v>
      </c>
      <c r="B63" s="15" t="s">
        <v>126</v>
      </c>
      <c r="C63" s="28" t="str">
        <f>B63</f>
        <v>Черный</v>
      </c>
      <c r="D63" s="28" t="str">
        <f>B64</f>
        <v>Коричневый</v>
      </c>
      <c r="E63" s="28" t="str">
        <f>B65</f>
        <v>Розовый</v>
      </c>
      <c r="F63" s="28" t="str">
        <f>B66</f>
        <v>Красный</v>
      </c>
      <c r="G63" s="28" t="str">
        <f>B67</f>
        <v>Синий</v>
      </c>
      <c r="H63" s="28" t="str">
        <f>B68</f>
        <v>Фиолетовый</v>
      </c>
      <c r="I63" s="28" t="str">
        <f>B69</f>
        <v>акпувап</v>
      </c>
      <c r="J63" s="28" t="str">
        <f>B70</f>
        <v/>
      </c>
      <c r="K63" s="28" t="str">
        <f>B71</f>
        <v/>
      </c>
      <c r="L63" s="28" t="str">
        <f>B72</f>
        <v/>
      </c>
      <c r="M63" s="15"/>
      <c r="N63" s="15"/>
      <c r="O63" s="15"/>
      <c r="P63" s="15"/>
      <c r="Q63" s="15"/>
      <c r="R63" s="15"/>
    </row>
    <row r="64" spans="1:18" x14ac:dyDescent="0.2">
      <c r="A64" s="21" t="s">
        <v>107</v>
      </c>
      <c r="B64" s="15" t="s">
        <v>127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spans="1:18" x14ac:dyDescent="0.2">
      <c r="A65" s="21" t="s">
        <v>108</v>
      </c>
      <c r="B65" s="15" t="s">
        <v>128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x14ac:dyDescent="0.2">
      <c r="A66" s="21" t="s">
        <v>109</v>
      </c>
      <c r="B66" s="15" t="s">
        <v>129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x14ac:dyDescent="0.2">
      <c r="A67" s="21" t="s">
        <v>110</v>
      </c>
      <c r="B67" s="15" t="s">
        <v>130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">
      <c r="A68" s="21" t="s">
        <v>111</v>
      </c>
      <c r="B68" s="15" t="s">
        <v>131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">
      <c r="A69" s="21" t="s">
        <v>112</v>
      </c>
      <c r="B69" s="15" t="s">
        <v>155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">
      <c r="A70" s="21" t="s">
        <v>113</v>
      </c>
      <c r="B70" s="15" t="str">
        <f>""</f>
        <v/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">
      <c r="A71" s="21" t="s">
        <v>114</v>
      </c>
      <c r="B71" s="15" t="str">
        <f>""</f>
        <v/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">
      <c r="A72" s="21" t="s">
        <v>115</v>
      </c>
      <c r="B72" s="15" t="str">
        <f>""</f>
        <v/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">
      <c r="A73" s="29" t="s">
        <v>116</v>
      </c>
      <c r="B73" s="15" t="s">
        <v>132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">
      <c r="A74" s="29" t="s">
        <v>117</v>
      </c>
      <c r="B74" s="15" t="s">
        <v>133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">
      <c r="A75" s="29" t="s">
        <v>118</v>
      </c>
      <c r="B75" s="15" t="s">
        <v>134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">
      <c r="A76" s="29" t="s">
        <v>119</v>
      </c>
      <c r="B76" s="15" t="s">
        <v>145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">
      <c r="A77" s="29" t="s">
        <v>120</v>
      </c>
      <c r="B77" s="15" t="s">
        <v>135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">
      <c r="A78" s="29" t="s">
        <v>121</v>
      </c>
      <c r="B78" s="15" t="s">
        <v>146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">
      <c r="A79" s="29" t="s">
        <v>122</v>
      </c>
      <c r="B79" s="15" t="s">
        <v>136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">
      <c r="A80" s="29" t="s">
        <v>123</v>
      </c>
      <c r="B80" s="15" t="s">
        <v>137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">
      <c r="A81" s="29" t="s">
        <v>124</v>
      </c>
      <c r="B81" s="15" t="s">
        <v>138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">
      <c r="A82" s="29" t="s">
        <v>125</v>
      </c>
      <c r="B82" s="15" t="s">
        <v>139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</sheetData>
  <dataConsolidate/>
  <mergeCells count="25">
    <mergeCell ref="A38:A40"/>
    <mergeCell ref="F36:G36"/>
    <mergeCell ref="H36:I36"/>
    <mergeCell ref="H31:I31"/>
    <mergeCell ref="H32:I32"/>
    <mergeCell ref="H33:I33"/>
    <mergeCell ref="H34:I34"/>
    <mergeCell ref="H35:I35"/>
    <mergeCell ref="F31:G31"/>
    <mergeCell ref="F32:G32"/>
    <mergeCell ref="F33:G33"/>
    <mergeCell ref="F34:G34"/>
    <mergeCell ref="F35:G35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Основной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Сергеевна Постникова</dc:creator>
  <cp:lastModifiedBy>userap</cp:lastModifiedBy>
  <dcterms:created xsi:type="dcterms:W3CDTF">2018-11-20T14:14:06Z</dcterms:created>
  <dcterms:modified xsi:type="dcterms:W3CDTF">2023-04-10T04:55:20Z</dcterms:modified>
</cp:coreProperties>
</file>