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ODEGA\"/>
    </mc:Choice>
  </mc:AlternateContent>
  <bookViews>
    <workbookView xWindow="0" yWindow="0" windowWidth="20490" windowHeight="7755" activeTab="2"/>
  </bookViews>
  <sheets>
    <sheet name="Hoja1" sheetId="1" r:id="rId1"/>
    <sheet name="Z1" sheetId="2" r:id="rId2"/>
    <sheet name="Hoja2" sheetId="9" r:id="rId3"/>
    <sheet name="Z2" sheetId="5" r:id="rId4"/>
    <sheet name="Z3" sheetId="7" r:id="rId5"/>
    <sheet name="ZMUR" sheetId="8" r:id="rId6"/>
    <sheet name="Hoja3" sheetId="3" r:id="rId7"/>
    <sheet name="ZejeExtr" sheetId="6" r:id="rId8"/>
    <sheet name="Hoja4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9" l="1"/>
  <c r="J50" i="9" s="1"/>
  <c r="B9" i="9"/>
  <c r="B8" i="9"/>
  <c r="J53" i="9"/>
  <c r="J65" i="9" s="1"/>
  <c r="J52" i="9"/>
  <c r="J64" i="9" s="1"/>
  <c r="J51" i="9"/>
  <c r="J61" i="9" s="1"/>
  <c r="F44" i="9"/>
  <c r="N40" i="9"/>
  <c r="N39" i="9"/>
  <c r="F34" i="9"/>
  <c r="F41" i="9" s="1"/>
  <c r="F43" i="9" s="1"/>
  <c r="F29" i="9"/>
  <c r="B29" i="9"/>
  <c r="N26" i="9"/>
  <c r="N25" i="9"/>
  <c r="J22" i="9"/>
  <c r="J34" i="9" s="1"/>
  <c r="R21" i="9"/>
  <c r="R22" i="9" s="1"/>
  <c r="J21" i="9"/>
  <c r="J33" i="9" s="1"/>
  <c r="R20" i="9"/>
  <c r="J20" i="9"/>
  <c r="J35" i="9" s="1"/>
  <c r="F19" i="9"/>
  <c r="F26" i="9" s="1"/>
  <c r="F28" i="9" s="1"/>
  <c r="N18" i="9"/>
  <c r="J5" i="9"/>
  <c r="R5" i="9" s="1"/>
  <c r="U4" i="9"/>
  <c r="R4" i="9"/>
  <c r="N33" i="9" s="1"/>
  <c r="N4" i="9"/>
  <c r="J72" i="9" s="1"/>
  <c r="R3" i="9"/>
  <c r="N32" i="9" s="1"/>
  <c r="B19" i="9" l="1"/>
  <c r="N35" i="9"/>
  <c r="N34" i="9"/>
  <c r="N36" i="9" s="1"/>
  <c r="G9" i="9"/>
  <c r="N20" i="9"/>
  <c r="R6" i="9"/>
  <c r="B17" i="9"/>
  <c r="N5" i="9"/>
  <c r="N19" i="9"/>
  <c r="J30" i="9"/>
  <c r="J62" i="9"/>
  <c r="J63" i="9" s="1"/>
  <c r="J66" i="9"/>
  <c r="J31" i="9"/>
  <c r="J32" i="9" s="1"/>
  <c r="J41" i="9"/>
  <c r="B8" i="8"/>
  <c r="B8" i="7"/>
  <c r="B9" i="7" s="1"/>
  <c r="B8" i="2"/>
  <c r="B8" i="5"/>
  <c r="J68" i="9" l="1"/>
  <c r="J67" i="9"/>
  <c r="H37" i="9"/>
  <c r="H22" i="9"/>
  <c r="G10" i="9"/>
  <c r="N37" i="9"/>
  <c r="N38" i="9" s="1"/>
  <c r="N41" i="9" s="1"/>
  <c r="N23" i="9"/>
  <c r="J37" i="9"/>
  <c r="J36" i="9"/>
  <c r="B22" i="9"/>
  <c r="B25" i="9" s="1"/>
  <c r="N21" i="9"/>
  <c r="N22" i="9" s="1"/>
  <c r="N24" i="9" s="1"/>
  <c r="N27" i="9" s="1"/>
  <c r="B18" i="9"/>
  <c r="B21" i="9" s="1"/>
  <c r="B24" i="9" s="1"/>
  <c r="B9" i="4"/>
  <c r="B8" i="3"/>
  <c r="B9" i="3" s="1"/>
  <c r="J53" i="8"/>
  <c r="J65" i="8" s="1"/>
  <c r="J52" i="8"/>
  <c r="J64" i="8" s="1"/>
  <c r="F52" i="8"/>
  <c r="J51" i="8"/>
  <c r="J50" i="8"/>
  <c r="F42" i="8"/>
  <c r="F49" i="8" s="1"/>
  <c r="F51" i="8" s="1"/>
  <c r="N40" i="8"/>
  <c r="N39" i="8"/>
  <c r="F37" i="8"/>
  <c r="N35" i="8"/>
  <c r="B29" i="8"/>
  <c r="N26" i="8"/>
  <c r="N25" i="8"/>
  <c r="J22" i="8"/>
  <c r="R21" i="8"/>
  <c r="R22" i="8" s="1"/>
  <c r="J21" i="8"/>
  <c r="R20" i="8"/>
  <c r="J20" i="8"/>
  <c r="J35" i="8" s="1"/>
  <c r="F19" i="8"/>
  <c r="F34" i="8" s="1"/>
  <c r="F36" i="8" s="1"/>
  <c r="B19" i="8"/>
  <c r="J5" i="8"/>
  <c r="R5" i="8" s="1"/>
  <c r="N20" i="8" s="1"/>
  <c r="U4" i="8"/>
  <c r="R4" i="8"/>
  <c r="N19" i="8" s="1"/>
  <c r="N4" i="8"/>
  <c r="J41" i="8" s="1"/>
  <c r="R3" i="8"/>
  <c r="B9" i="8" s="1"/>
  <c r="J53" i="7"/>
  <c r="J65" i="7" s="1"/>
  <c r="J52" i="7"/>
  <c r="J64" i="7" s="1"/>
  <c r="F52" i="7"/>
  <c r="J51" i="7"/>
  <c r="J50" i="7"/>
  <c r="F42" i="7"/>
  <c r="F49" i="7" s="1"/>
  <c r="F51" i="7" s="1"/>
  <c r="J41" i="7"/>
  <c r="N40" i="7"/>
  <c r="N39" i="7"/>
  <c r="F37" i="7"/>
  <c r="N35" i="7"/>
  <c r="B29" i="7"/>
  <c r="N26" i="7"/>
  <c r="N25" i="7"/>
  <c r="J22" i="7"/>
  <c r="J34" i="7" s="1"/>
  <c r="R21" i="7"/>
  <c r="J21" i="7"/>
  <c r="R20" i="7"/>
  <c r="R22" i="7" s="1"/>
  <c r="J20" i="7"/>
  <c r="J33" i="7" s="1"/>
  <c r="F19" i="7"/>
  <c r="F34" i="7" s="1"/>
  <c r="F36" i="7" s="1"/>
  <c r="B19" i="7"/>
  <c r="J5" i="7"/>
  <c r="R5" i="7" s="1"/>
  <c r="U4" i="7"/>
  <c r="R4" i="7"/>
  <c r="N33" i="7" s="1"/>
  <c r="N4" i="7"/>
  <c r="J72" i="7" s="1"/>
  <c r="R3" i="7"/>
  <c r="B8" i="6"/>
  <c r="B9" i="6" s="1"/>
  <c r="B18" i="6" s="1"/>
  <c r="J53" i="6"/>
  <c r="J65" i="6" s="1"/>
  <c r="J52" i="6"/>
  <c r="J64" i="6" s="1"/>
  <c r="J51" i="6"/>
  <c r="J50" i="6"/>
  <c r="F44" i="6"/>
  <c r="N40" i="6"/>
  <c r="N39" i="6"/>
  <c r="N35" i="6"/>
  <c r="F34" i="6"/>
  <c r="F41" i="6" s="1"/>
  <c r="F43" i="6" s="1"/>
  <c r="J33" i="6"/>
  <c r="F29" i="6"/>
  <c r="B29" i="6"/>
  <c r="N26" i="6"/>
  <c r="N25" i="6"/>
  <c r="J22" i="6"/>
  <c r="J31" i="6" s="1"/>
  <c r="J32" i="6" s="1"/>
  <c r="R21" i="6"/>
  <c r="J21" i="6"/>
  <c r="R20" i="6"/>
  <c r="R22" i="6" s="1"/>
  <c r="J20" i="6"/>
  <c r="J35" i="6" s="1"/>
  <c r="F19" i="6"/>
  <c r="F26" i="6" s="1"/>
  <c r="F28" i="6" s="1"/>
  <c r="B19" i="6"/>
  <c r="J5" i="6"/>
  <c r="R5" i="6" s="1"/>
  <c r="U4" i="6"/>
  <c r="R4" i="6"/>
  <c r="N33" i="6" s="1"/>
  <c r="N4" i="6"/>
  <c r="J41" i="6" s="1"/>
  <c r="R3" i="6"/>
  <c r="N18" i="6" s="1"/>
  <c r="J53" i="5"/>
  <c r="J65" i="5" s="1"/>
  <c r="J52" i="5"/>
  <c r="J64" i="5" s="1"/>
  <c r="J51" i="5"/>
  <c r="J50" i="5"/>
  <c r="F52" i="5"/>
  <c r="N40" i="5"/>
  <c r="N39" i="5"/>
  <c r="N35" i="5"/>
  <c r="F42" i="5"/>
  <c r="F49" i="5" s="1"/>
  <c r="F51" i="5" s="1"/>
  <c r="F37" i="5"/>
  <c r="B29" i="5"/>
  <c r="N26" i="5"/>
  <c r="N25" i="5"/>
  <c r="R22" i="5"/>
  <c r="J22" i="5"/>
  <c r="R21" i="5"/>
  <c r="J21" i="5"/>
  <c r="J35" i="5" s="1"/>
  <c r="R20" i="5"/>
  <c r="J20" i="5"/>
  <c r="J34" i="5" s="1"/>
  <c r="F19" i="5"/>
  <c r="F34" i="5" s="1"/>
  <c r="F36" i="5" s="1"/>
  <c r="B19" i="5"/>
  <c r="J5" i="5"/>
  <c r="R5" i="5" s="1"/>
  <c r="U4" i="5"/>
  <c r="R4" i="5"/>
  <c r="N33" i="5" s="1"/>
  <c r="N4" i="5"/>
  <c r="J72" i="5" s="1"/>
  <c r="R3" i="5"/>
  <c r="B26" i="9" l="1"/>
  <c r="J18" i="9" s="1"/>
  <c r="J49" i="9" s="1"/>
  <c r="J34" i="8"/>
  <c r="J61" i="8"/>
  <c r="N18" i="8"/>
  <c r="N21" i="8"/>
  <c r="N22" i="8" s="1"/>
  <c r="N18" i="5"/>
  <c r="B9" i="5"/>
  <c r="N32" i="8"/>
  <c r="J61" i="6"/>
  <c r="J66" i="7"/>
  <c r="J31" i="8"/>
  <c r="J32" i="8" s="1"/>
  <c r="J30" i="8"/>
  <c r="N34" i="8"/>
  <c r="N33" i="8"/>
  <c r="J72" i="8"/>
  <c r="N5" i="8"/>
  <c r="J62" i="8"/>
  <c r="J63" i="8" s="1"/>
  <c r="J66" i="8"/>
  <c r="J33" i="8"/>
  <c r="R6" i="8"/>
  <c r="R6" i="7"/>
  <c r="B17" i="7" s="1"/>
  <c r="N20" i="7"/>
  <c r="N34" i="7"/>
  <c r="N19" i="7"/>
  <c r="J35" i="7"/>
  <c r="J61" i="7"/>
  <c r="N5" i="7"/>
  <c r="N18" i="7"/>
  <c r="J30" i="7"/>
  <c r="N32" i="7"/>
  <c r="J62" i="7"/>
  <c r="J63" i="7" s="1"/>
  <c r="J31" i="7"/>
  <c r="J32" i="7" s="1"/>
  <c r="R6" i="6"/>
  <c r="B17" i="6" s="1"/>
  <c r="B21" i="6" s="1"/>
  <c r="B24" i="6" s="1"/>
  <c r="J36" i="6"/>
  <c r="N20" i="6"/>
  <c r="N34" i="6"/>
  <c r="N5" i="6"/>
  <c r="N19" i="6"/>
  <c r="N21" i="6"/>
  <c r="J30" i="6"/>
  <c r="N32" i="6"/>
  <c r="J34" i="6"/>
  <c r="J37" i="6" s="1"/>
  <c r="J62" i="6"/>
  <c r="J63" i="6" s="1"/>
  <c r="J66" i="6"/>
  <c r="J72" i="6"/>
  <c r="N34" i="5"/>
  <c r="N20" i="5"/>
  <c r="R6" i="5"/>
  <c r="J30" i="5"/>
  <c r="N32" i="5"/>
  <c r="J62" i="5"/>
  <c r="J63" i="5" s="1"/>
  <c r="J66" i="5"/>
  <c r="J61" i="5"/>
  <c r="N19" i="5"/>
  <c r="N5" i="5"/>
  <c r="J31" i="5"/>
  <c r="J32" i="5" s="1"/>
  <c r="J33" i="5"/>
  <c r="J41" i="5"/>
  <c r="B28" i="9" l="1"/>
  <c r="J26" i="9"/>
  <c r="J28" i="9" s="1"/>
  <c r="J38" i="9"/>
  <c r="I27" i="9"/>
  <c r="F35" i="9"/>
  <c r="F20" i="9"/>
  <c r="B30" i="9"/>
  <c r="A32" i="9" s="1"/>
  <c r="J69" i="9"/>
  <c r="J57" i="9"/>
  <c r="B18" i="8"/>
  <c r="N23" i="6"/>
  <c r="N36" i="8"/>
  <c r="N37" i="8"/>
  <c r="N23" i="8"/>
  <c r="N24" i="8" s="1"/>
  <c r="N27" i="8" s="1"/>
  <c r="B17" i="8"/>
  <c r="B21" i="8" s="1"/>
  <c r="B24" i="8" s="1"/>
  <c r="H22" i="8"/>
  <c r="H37" i="8"/>
  <c r="J37" i="8"/>
  <c r="J36" i="8"/>
  <c r="J67" i="8"/>
  <c r="J68" i="8"/>
  <c r="N36" i="7"/>
  <c r="B22" i="7"/>
  <c r="B25" i="7" s="1"/>
  <c r="H37" i="7"/>
  <c r="H22" i="7"/>
  <c r="J37" i="7"/>
  <c r="J36" i="7"/>
  <c r="J68" i="7"/>
  <c r="J67" i="7"/>
  <c r="B18" i="7"/>
  <c r="B21" i="7" s="1"/>
  <c r="B24" i="7" s="1"/>
  <c r="N21" i="7"/>
  <c r="N22" i="7" s="1"/>
  <c r="N23" i="7"/>
  <c r="N37" i="7"/>
  <c r="B22" i="6"/>
  <c r="B25" i="6" s="1"/>
  <c r="B26" i="6" s="1"/>
  <c r="N37" i="6"/>
  <c r="N22" i="6"/>
  <c r="N24" i="6" s="1"/>
  <c r="N27" i="6" s="1"/>
  <c r="N36" i="6"/>
  <c r="J67" i="6"/>
  <c r="J68" i="6"/>
  <c r="H37" i="6"/>
  <c r="H22" i="6"/>
  <c r="H37" i="5"/>
  <c r="H22" i="5"/>
  <c r="N21" i="5"/>
  <c r="N22" i="5" s="1"/>
  <c r="B18" i="5"/>
  <c r="N23" i="5"/>
  <c r="N37" i="5"/>
  <c r="J68" i="5"/>
  <c r="J67" i="5"/>
  <c r="B17" i="5"/>
  <c r="J37" i="5"/>
  <c r="J36" i="5"/>
  <c r="N36" i="5"/>
  <c r="J40" i="9" l="1"/>
  <c r="F27" i="9"/>
  <c r="F21" i="9"/>
  <c r="H23" i="9" s="1"/>
  <c r="F22" i="9" s="1"/>
  <c r="F23" i="9" s="1"/>
  <c r="J39" i="9"/>
  <c r="I42" i="9" s="1"/>
  <c r="J59" i="9"/>
  <c r="J71" i="9" s="1"/>
  <c r="I58" i="9"/>
  <c r="F42" i="9"/>
  <c r="F36" i="9"/>
  <c r="H38" i="9" s="1"/>
  <c r="F37" i="9" s="1"/>
  <c r="F38" i="9" s="1"/>
  <c r="N38" i="8"/>
  <c r="N41" i="8" s="1"/>
  <c r="B22" i="8"/>
  <c r="B25" i="8" s="1"/>
  <c r="B26" i="8" s="1"/>
  <c r="N38" i="7"/>
  <c r="N41" i="7" s="1"/>
  <c r="N24" i="7"/>
  <c r="N27" i="7" s="1"/>
  <c r="B26" i="7"/>
  <c r="J18" i="7" s="1"/>
  <c r="J49" i="7" s="1"/>
  <c r="N38" i="6"/>
  <c r="N41" i="6" s="1"/>
  <c r="B28" i="6"/>
  <c r="J18" i="6"/>
  <c r="N24" i="5"/>
  <c r="N27" i="5" s="1"/>
  <c r="B22" i="5"/>
  <c r="B25" i="5" s="1"/>
  <c r="N38" i="5"/>
  <c r="N41" i="5" s="1"/>
  <c r="B21" i="5"/>
  <c r="B24" i="5" s="1"/>
  <c r="J70" i="9" l="1"/>
  <c r="I73" i="9" s="1"/>
  <c r="J38" i="7"/>
  <c r="J18" i="8"/>
  <c r="B28" i="8"/>
  <c r="B28" i="7"/>
  <c r="F20" i="7" s="1"/>
  <c r="J26" i="7"/>
  <c r="J28" i="7" s="1"/>
  <c r="J39" i="7" s="1"/>
  <c r="I42" i="7" s="1"/>
  <c r="J57" i="7"/>
  <c r="J69" i="7"/>
  <c r="J26" i="6"/>
  <c r="J38" i="6"/>
  <c r="J49" i="6"/>
  <c r="F35" i="6"/>
  <c r="F20" i="6"/>
  <c r="B30" i="6"/>
  <c r="A32" i="6" s="1"/>
  <c r="B26" i="5"/>
  <c r="F43" i="7" l="1"/>
  <c r="B30" i="7"/>
  <c r="A32" i="7" s="1"/>
  <c r="I27" i="7"/>
  <c r="F43" i="8"/>
  <c r="F20" i="8"/>
  <c r="B30" i="8"/>
  <c r="A32" i="8" s="1"/>
  <c r="J38" i="8"/>
  <c r="J49" i="8"/>
  <c r="J26" i="8"/>
  <c r="F35" i="7"/>
  <c r="F21" i="7"/>
  <c r="H23" i="7" s="1"/>
  <c r="F22" i="7" s="1"/>
  <c r="F23" i="7" s="1"/>
  <c r="F25" i="7" s="1"/>
  <c r="J40" i="7"/>
  <c r="F50" i="7"/>
  <c r="F44" i="7"/>
  <c r="H38" i="7" s="1"/>
  <c r="F45" i="7" s="1"/>
  <c r="F46" i="7" s="1"/>
  <c r="J59" i="7"/>
  <c r="J71" i="7" s="1"/>
  <c r="I58" i="7"/>
  <c r="J69" i="6"/>
  <c r="J57" i="6"/>
  <c r="F42" i="6"/>
  <c r="F36" i="6"/>
  <c r="H38" i="6" s="1"/>
  <c r="F37" i="6" s="1"/>
  <c r="F38" i="6" s="1"/>
  <c r="F27" i="6"/>
  <c r="F21" i="6"/>
  <c r="H23" i="6" s="1"/>
  <c r="F22" i="6" s="1"/>
  <c r="F23" i="6" s="1"/>
  <c r="J28" i="6"/>
  <c r="J40" i="6" s="1"/>
  <c r="I27" i="6"/>
  <c r="J18" i="5"/>
  <c r="B28" i="5"/>
  <c r="I27" i="8" l="1"/>
  <c r="J28" i="8"/>
  <c r="J39" i="8" s="1"/>
  <c r="I42" i="8" s="1"/>
  <c r="F35" i="8"/>
  <c r="F21" i="8"/>
  <c r="H23" i="8" s="1"/>
  <c r="F22" i="8" s="1"/>
  <c r="F23" i="8" s="1"/>
  <c r="F25" i="8" s="1"/>
  <c r="J69" i="8"/>
  <c r="J57" i="8"/>
  <c r="F50" i="8"/>
  <c r="F44" i="8"/>
  <c r="H38" i="8" s="1"/>
  <c r="F45" i="8" s="1"/>
  <c r="F46" i="8" s="1"/>
  <c r="J70" i="7"/>
  <c r="I73" i="7" s="1"/>
  <c r="J39" i="6"/>
  <c r="I42" i="6" s="1"/>
  <c r="J59" i="6"/>
  <c r="J70" i="6" s="1"/>
  <c r="I73" i="6" s="1"/>
  <c r="I58" i="6"/>
  <c r="F43" i="5"/>
  <c r="B30" i="5"/>
  <c r="A32" i="5" s="1"/>
  <c r="F20" i="5"/>
  <c r="J38" i="5"/>
  <c r="J26" i="5"/>
  <c r="J49" i="5"/>
  <c r="I58" i="8" l="1"/>
  <c r="J59" i="8"/>
  <c r="J70" i="8" s="1"/>
  <c r="I73" i="8" s="1"/>
  <c r="J71" i="8"/>
  <c r="J40" i="8"/>
  <c r="J71" i="6"/>
  <c r="F21" i="5"/>
  <c r="H23" i="5" s="1"/>
  <c r="F22" i="5" s="1"/>
  <c r="F23" i="5" s="1"/>
  <c r="F25" i="5" s="1"/>
  <c r="F35" i="5"/>
  <c r="J69" i="5"/>
  <c r="J57" i="5"/>
  <c r="J28" i="5"/>
  <c r="J40" i="5" s="1"/>
  <c r="I27" i="5"/>
  <c r="F44" i="5"/>
  <c r="H38" i="5" s="1"/>
  <c r="F45" i="5" s="1"/>
  <c r="F46" i="5" s="1"/>
  <c r="F50" i="5"/>
  <c r="J39" i="5" l="1"/>
  <c r="I42" i="5" s="1"/>
  <c r="J59" i="5"/>
  <c r="J71" i="5" s="1"/>
  <c r="I58" i="5"/>
  <c r="J70" i="5" l="1"/>
  <c r="I73" i="5" s="1"/>
  <c r="J5" i="1" l="1"/>
  <c r="J5" i="2"/>
  <c r="R5" i="2" s="1"/>
  <c r="G9" i="2" s="1"/>
  <c r="J5" i="3"/>
  <c r="J5" i="4"/>
  <c r="J41" i="4"/>
  <c r="B8" i="4" l="1"/>
  <c r="J66" i="4" l="1"/>
  <c r="J53" i="4"/>
  <c r="J65" i="4" s="1"/>
  <c r="J52" i="4"/>
  <c r="J64" i="4" s="1"/>
  <c r="J51" i="4"/>
  <c r="J61" i="4" s="1"/>
  <c r="J50" i="4"/>
  <c r="F44" i="4"/>
  <c r="N40" i="4"/>
  <c r="N39" i="4"/>
  <c r="N35" i="4"/>
  <c r="F34" i="4"/>
  <c r="F41" i="4" s="1"/>
  <c r="F43" i="4" s="1"/>
  <c r="F29" i="4"/>
  <c r="B29" i="4"/>
  <c r="N26" i="4"/>
  <c r="N25" i="4"/>
  <c r="J22" i="4"/>
  <c r="R21" i="4"/>
  <c r="J21" i="4"/>
  <c r="J33" i="4" s="1"/>
  <c r="R20" i="4"/>
  <c r="R22" i="4" s="1"/>
  <c r="J20" i="4"/>
  <c r="J35" i="4" s="1"/>
  <c r="F19" i="4"/>
  <c r="F26" i="4" s="1"/>
  <c r="F28" i="4" s="1"/>
  <c r="B19" i="4"/>
  <c r="R5" i="4"/>
  <c r="N20" i="4" s="1"/>
  <c r="U4" i="4"/>
  <c r="R4" i="4"/>
  <c r="N4" i="4"/>
  <c r="J72" i="4" s="1"/>
  <c r="R3" i="4"/>
  <c r="J66" i="3"/>
  <c r="J62" i="3"/>
  <c r="J63" i="3" s="1"/>
  <c r="J53" i="3"/>
  <c r="J65" i="3" s="1"/>
  <c r="J52" i="3"/>
  <c r="J64" i="3" s="1"/>
  <c r="J51" i="3"/>
  <c r="J61" i="3" s="1"/>
  <c r="J50" i="3"/>
  <c r="F44" i="3"/>
  <c r="N40" i="3"/>
  <c r="N39" i="3"/>
  <c r="N35" i="3"/>
  <c r="J34" i="3"/>
  <c r="F34" i="3"/>
  <c r="F41" i="3" s="1"/>
  <c r="F43" i="3" s="1"/>
  <c r="J33" i="3"/>
  <c r="N32" i="3"/>
  <c r="J30" i="3"/>
  <c r="F29" i="3"/>
  <c r="B29" i="3"/>
  <c r="N26" i="3"/>
  <c r="N25" i="3"/>
  <c r="J22" i="3"/>
  <c r="J31" i="3" s="1"/>
  <c r="J32" i="3" s="1"/>
  <c r="H22" i="3"/>
  <c r="R21" i="3"/>
  <c r="J21" i="3"/>
  <c r="R20" i="3"/>
  <c r="R22" i="3" s="1"/>
  <c r="J20" i="3"/>
  <c r="J35" i="3" s="1"/>
  <c r="F19" i="3"/>
  <c r="F26" i="3" s="1"/>
  <c r="F28" i="3" s="1"/>
  <c r="B19" i="3"/>
  <c r="R5" i="3"/>
  <c r="N20" i="3" s="1"/>
  <c r="N5" i="3"/>
  <c r="H37" i="3" s="1"/>
  <c r="U4" i="3"/>
  <c r="R4" i="3"/>
  <c r="N33" i="3" s="1"/>
  <c r="N4" i="3"/>
  <c r="J72" i="3" s="1"/>
  <c r="R3" i="3"/>
  <c r="J72" i="2"/>
  <c r="J53" i="2"/>
  <c r="J65" i="2" s="1"/>
  <c r="J52" i="2"/>
  <c r="J51" i="2"/>
  <c r="J50" i="2"/>
  <c r="F44" i="2"/>
  <c r="N40" i="2"/>
  <c r="N39" i="2"/>
  <c r="N35" i="2"/>
  <c r="F34" i="2"/>
  <c r="F41" i="2" s="1"/>
  <c r="F43" i="2" s="1"/>
  <c r="F29" i="2"/>
  <c r="B29" i="2"/>
  <c r="N26" i="2"/>
  <c r="N25" i="2"/>
  <c r="R22" i="2"/>
  <c r="J22" i="2"/>
  <c r="R21" i="2"/>
  <c r="J21" i="2"/>
  <c r="J33" i="2" s="1"/>
  <c r="R20" i="2"/>
  <c r="J20" i="2"/>
  <c r="J34" i="2" s="1"/>
  <c r="F19" i="2"/>
  <c r="F26" i="2" s="1"/>
  <c r="F28" i="2" s="1"/>
  <c r="B19" i="2"/>
  <c r="N34" i="2"/>
  <c r="N5" i="2"/>
  <c r="H37" i="2" s="1"/>
  <c r="U4" i="2"/>
  <c r="R4" i="2"/>
  <c r="N19" i="2" s="1"/>
  <c r="N4" i="2"/>
  <c r="J41" i="2" s="1"/>
  <c r="R3" i="2"/>
  <c r="J66" i="2" l="1"/>
  <c r="B9" i="2"/>
  <c r="N18" i="2"/>
  <c r="J62" i="4"/>
  <c r="J63" i="4" s="1"/>
  <c r="N18" i="4"/>
  <c r="N32" i="4"/>
  <c r="R6" i="3"/>
  <c r="B17" i="3" s="1"/>
  <c r="N34" i="3"/>
  <c r="N36" i="3" s="1"/>
  <c r="R6" i="4"/>
  <c r="N37" i="4" s="1"/>
  <c r="N19" i="4"/>
  <c r="N33" i="4"/>
  <c r="J68" i="4"/>
  <c r="J67" i="4"/>
  <c r="J30" i="4"/>
  <c r="J34" i="4"/>
  <c r="N5" i="4"/>
  <c r="J31" i="4"/>
  <c r="J32" i="4" s="1"/>
  <c r="N34" i="4"/>
  <c r="N19" i="3"/>
  <c r="J37" i="3"/>
  <c r="J36" i="3"/>
  <c r="J68" i="3"/>
  <c r="J67" i="3"/>
  <c r="N18" i="3"/>
  <c r="J41" i="3"/>
  <c r="N33" i="2"/>
  <c r="J64" i="2"/>
  <c r="N20" i="2"/>
  <c r="J35" i="2"/>
  <c r="J61" i="2"/>
  <c r="R6" i="2"/>
  <c r="H22" i="2"/>
  <c r="J30" i="2"/>
  <c r="N32" i="2"/>
  <c r="J62" i="2"/>
  <c r="J63" i="2" s="1"/>
  <c r="J31" i="2"/>
  <c r="J32" i="2" s="1"/>
  <c r="N36" i="2" l="1"/>
  <c r="N23" i="3"/>
  <c r="N37" i="3"/>
  <c r="B17" i="4"/>
  <c r="B22" i="4" s="1"/>
  <c r="B25" i="4" s="1"/>
  <c r="N23" i="4"/>
  <c r="N36" i="4"/>
  <c r="N38" i="4" s="1"/>
  <c r="N41" i="4" s="1"/>
  <c r="J36" i="4"/>
  <c r="J37" i="4"/>
  <c r="B18" i="4"/>
  <c r="N21" i="4"/>
  <c r="N22" i="4" s="1"/>
  <c r="H37" i="4"/>
  <c r="H22" i="4"/>
  <c r="N38" i="3"/>
  <c r="N41" i="3" s="1"/>
  <c r="B18" i="3"/>
  <c r="B21" i="3" s="1"/>
  <c r="B24" i="3" s="1"/>
  <c r="N21" i="3"/>
  <c r="N22" i="3" s="1"/>
  <c r="B22" i="3"/>
  <c r="B25" i="3" s="1"/>
  <c r="J67" i="2"/>
  <c r="J68" i="2"/>
  <c r="N37" i="2"/>
  <c r="N38" i="2" s="1"/>
  <c r="N41" i="2" s="1"/>
  <c r="N23" i="2"/>
  <c r="B17" i="2"/>
  <c r="J37" i="2"/>
  <c r="J36" i="2"/>
  <c r="N21" i="2"/>
  <c r="N22" i="2" s="1"/>
  <c r="N24" i="2" s="1"/>
  <c r="N27" i="2" s="1"/>
  <c r="B18" i="2"/>
  <c r="G10" i="2" l="1"/>
  <c r="N24" i="3"/>
  <c r="N27" i="3" s="1"/>
  <c r="N24" i="4"/>
  <c r="N27" i="4" s="1"/>
  <c r="B21" i="4"/>
  <c r="B24" i="4" s="1"/>
  <c r="B26" i="4" s="1"/>
  <c r="J18" i="4" s="1"/>
  <c r="J49" i="4" s="1"/>
  <c r="B26" i="3"/>
  <c r="J18" i="3" s="1"/>
  <c r="J49" i="3" s="1"/>
  <c r="B21" i="2"/>
  <c r="B24" i="2" s="1"/>
  <c r="B22" i="2"/>
  <c r="B25" i="2" s="1"/>
  <c r="J26" i="3" l="1"/>
  <c r="J28" i="3" s="1"/>
  <c r="J38" i="3"/>
  <c r="B28" i="3"/>
  <c r="F20" i="3" s="1"/>
  <c r="B28" i="4"/>
  <c r="F35" i="4" s="1"/>
  <c r="J26" i="4"/>
  <c r="J28" i="4" s="1"/>
  <c r="J38" i="4"/>
  <c r="J69" i="4"/>
  <c r="J57" i="4"/>
  <c r="J69" i="3"/>
  <c r="J57" i="3"/>
  <c r="B26" i="2"/>
  <c r="B28" i="2" s="1"/>
  <c r="I27" i="3" l="1"/>
  <c r="F35" i="3"/>
  <c r="F42" i="3" s="1"/>
  <c r="J40" i="3"/>
  <c r="B30" i="3"/>
  <c r="A32" i="3" s="1"/>
  <c r="F20" i="4"/>
  <c r="F27" i="4" s="1"/>
  <c r="B30" i="4"/>
  <c r="A32" i="4" s="1"/>
  <c r="J40" i="4"/>
  <c r="I27" i="4"/>
  <c r="J39" i="4"/>
  <c r="I42" i="4" s="1"/>
  <c r="F42" i="4"/>
  <c r="F36" i="4"/>
  <c r="H38" i="4" s="1"/>
  <c r="F37" i="4" s="1"/>
  <c r="F38" i="4" s="1"/>
  <c r="J59" i="4"/>
  <c r="J70" i="4" s="1"/>
  <c r="I73" i="4" s="1"/>
  <c r="I58" i="4"/>
  <c r="J39" i="3"/>
  <c r="I42" i="3" s="1"/>
  <c r="F27" i="3"/>
  <c r="F21" i="3"/>
  <c r="H23" i="3" s="1"/>
  <c r="F22" i="3" s="1"/>
  <c r="F23" i="3" s="1"/>
  <c r="J59" i="3"/>
  <c r="J70" i="3" s="1"/>
  <c r="I73" i="3" s="1"/>
  <c r="I58" i="3"/>
  <c r="F36" i="3"/>
  <c r="H38" i="3" s="1"/>
  <c r="F37" i="3" s="1"/>
  <c r="F38" i="3" s="1"/>
  <c r="J18" i="2"/>
  <c r="F21" i="4" l="1"/>
  <c r="H23" i="4" s="1"/>
  <c r="F22" i="4" s="1"/>
  <c r="F23" i="4" s="1"/>
  <c r="J71" i="4"/>
  <c r="J71" i="3"/>
  <c r="J26" i="2"/>
  <c r="J49" i="2"/>
  <c r="J38" i="2"/>
  <c r="F20" i="2"/>
  <c r="B30" i="2"/>
  <c r="A32" i="2" s="1"/>
  <c r="F35" i="2"/>
  <c r="F27" i="2" l="1"/>
  <c r="F21" i="2"/>
  <c r="H23" i="2" s="1"/>
  <c r="F22" i="2" s="1"/>
  <c r="F23" i="2" s="1"/>
  <c r="J28" i="2"/>
  <c r="J39" i="2" s="1"/>
  <c r="I42" i="2" s="1"/>
  <c r="I27" i="2"/>
  <c r="F36" i="2"/>
  <c r="H38" i="2" s="1"/>
  <c r="F37" i="2" s="1"/>
  <c r="F38" i="2" s="1"/>
  <c r="F42" i="2"/>
  <c r="J57" i="2"/>
  <c r="J69" i="2"/>
  <c r="J40" i="2" l="1"/>
  <c r="J59" i="2"/>
  <c r="J71" i="2" s="1"/>
  <c r="I58" i="2"/>
  <c r="J70" i="2" l="1"/>
  <c r="I73" i="2" s="1"/>
  <c r="B9" i="1" l="1"/>
  <c r="J61" i="1"/>
  <c r="J53" i="1"/>
  <c r="J66" i="1" s="1"/>
  <c r="J52" i="1"/>
  <c r="J64" i="1" s="1"/>
  <c r="J51" i="1"/>
  <c r="J50" i="1"/>
  <c r="F44" i="1"/>
  <c r="N40" i="1"/>
  <c r="N39" i="1"/>
  <c r="N35" i="1"/>
  <c r="F34" i="1"/>
  <c r="F41" i="1" s="1"/>
  <c r="F43" i="1" s="1"/>
  <c r="F29" i="1"/>
  <c r="B29" i="1"/>
  <c r="N26" i="1"/>
  <c r="N25" i="1"/>
  <c r="R22" i="1"/>
  <c r="J22" i="1"/>
  <c r="R21" i="1"/>
  <c r="J21" i="1"/>
  <c r="J33" i="1" s="1"/>
  <c r="R20" i="1"/>
  <c r="J20" i="1"/>
  <c r="J34" i="1" s="1"/>
  <c r="F19" i="1"/>
  <c r="F26" i="1" s="1"/>
  <c r="F28" i="1" s="1"/>
  <c r="B19" i="1"/>
  <c r="R5" i="1"/>
  <c r="N34" i="1" s="1"/>
  <c r="U4" i="1"/>
  <c r="R4" i="1"/>
  <c r="N33" i="1" s="1"/>
  <c r="N4" i="1"/>
  <c r="J72" i="1" s="1"/>
  <c r="R3" i="1"/>
  <c r="N18" i="1" s="1"/>
  <c r="N20" i="1" l="1"/>
  <c r="J65" i="1"/>
  <c r="J30" i="1"/>
  <c r="N32" i="1"/>
  <c r="N36" i="1" s="1"/>
  <c r="J62" i="1"/>
  <c r="J63" i="1" s="1"/>
  <c r="J35" i="1"/>
  <c r="R6" i="1"/>
  <c r="N19" i="1"/>
  <c r="J31" i="1"/>
  <c r="J32" i="1" s="1"/>
  <c r="J41" i="1"/>
  <c r="N5" i="1"/>
  <c r="B18" i="1" l="1"/>
  <c r="N21" i="1"/>
  <c r="N22" i="1" s="1"/>
  <c r="J68" i="1"/>
  <c r="J67" i="1"/>
  <c r="H37" i="1"/>
  <c r="H22" i="1"/>
  <c r="N23" i="1"/>
  <c r="B17" i="1"/>
  <c r="N37" i="1"/>
  <c r="N38" i="1" s="1"/>
  <c r="N41" i="1" s="1"/>
  <c r="J37" i="1"/>
  <c r="J36" i="1"/>
  <c r="N24" i="1" l="1"/>
  <c r="N27" i="1" s="1"/>
  <c r="B22" i="1"/>
  <c r="B25" i="1" s="1"/>
  <c r="B21" i="1"/>
  <c r="B24" i="1" s="1"/>
  <c r="B26" i="1" l="1"/>
  <c r="J18" i="1" s="1"/>
  <c r="J26" i="1" s="1"/>
  <c r="J38" i="1"/>
  <c r="B28" i="1" l="1"/>
  <c r="F35" i="1" s="1"/>
  <c r="J49" i="1"/>
  <c r="J69" i="1" s="1"/>
  <c r="F20" i="1"/>
  <c r="J28" i="1"/>
  <c r="J39" i="1" s="1"/>
  <c r="I42" i="1" s="1"/>
  <c r="I27" i="1"/>
  <c r="B30" i="1" l="1"/>
  <c r="A32" i="1" s="1"/>
  <c r="J57" i="1"/>
  <c r="I58" i="1" s="1"/>
  <c r="J59" i="1"/>
  <c r="J71" i="1" s="1"/>
  <c r="F21" i="1"/>
  <c r="H23" i="1" s="1"/>
  <c r="F22" i="1" s="1"/>
  <c r="F23" i="1" s="1"/>
  <c r="F27" i="1"/>
  <c r="J40" i="1"/>
  <c r="F36" i="1"/>
  <c r="H38" i="1" s="1"/>
  <c r="F37" i="1" s="1"/>
  <c r="F38" i="1" s="1"/>
  <c r="F42" i="1"/>
  <c r="J70" i="1" l="1"/>
  <c r="I73" i="1" s="1"/>
</calcChain>
</file>

<file path=xl/sharedStrings.xml><?xml version="1.0" encoding="utf-8"?>
<sst xmlns="http://schemas.openxmlformats.org/spreadsheetml/2006/main" count="1777" uniqueCount="102">
  <si>
    <t>Zapata</t>
  </si>
  <si>
    <t>Datos del dado</t>
  </si>
  <si>
    <t>Datos de la zapata</t>
  </si>
  <si>
    <t>Datos del suelo</t>
  </si>
  <si>
    <t>Datos del concreto</t>
  </si>
  <si>
    <t>Peso de la cimentación</t>
  </si>
  <si>
    <t>Datos del acero</t>
  </si>
  <si>
    <t>Bd</t>
  </si>
  <si>
    <t>cm</t>
  </si>
  <si>
    <t>Bz</t>
  </si>
  <si>
    <t>Peso volumetirco</t>
  </si>
  <si>
    <t>t/m3</t>
  </si>
  <si>
    <t>F'c</t>
  </si>
  <si>
    <t>kg/cm2</t>
  </si>
  <si>
    <t>Dado</t>
  </si>
  <si>
    <t>T</t>
  </si>
  <si>
    <t>Fy</t>
  </si>
  <si>
    <t>Hd</t>
  </si>
  <si>
    <t>Hz</t>
  </si>
  <si>
    <t>Capacidad de carga</t>
  </si>
  <si>
    <t>t/m2</t>
  </si>
  <si>
    <t>F*c</t>
  </si>
  <si>
    <t>pmin</t>
  </si>
  <si>
    <t>Dd</t>
  </si>
  <si>
    <t>Dz</t>
  </si>
  <si>
    <t>profundiad</t>
  </si>
  <si>
    <t>F''c</t>
  </si>
  <si>
    <t>Suelo</t>
  </si>
  <si>
    <t>Recubrimiento</t>
  </si>
  <si>
    <t>Peso</t>
  </si>
  <si>
    <t>Total</t>
  </si>
  <si>
    <t>Elementos mecánicos</t>
  </si>
  <si>
    <t>P</t>
  </si>
  <si>
    <t>t</t>
  </si>
  <si>
    <t>Mx</t>
  </si>
  <si>
    <t>t-m</t>
  </si>
  <si>
    <t>MY</t>
  </si>
  <si>
    <t>Vx</t>
  </si>
  <si>
    <t>Vy</t>
  </si>
  <si>
    <t>Revisión por capacidad de carga</t>
  </si>
  <si>
    <t>Revision de zapata como viga</t>
  </si>
  <si>
    <t>revison por penetracion</t>
  </si>
  <si>
    <t>revision por volteo</t>
  </si>
  <si>
    <t>Resistencia a fuerza cortante por friccion</t>
  </si>
  <si>
    <t>Direccion X-X</t>
  </si>
  <si>
    <t>Dirección X-X</t>
  </si>
  <si>
    <t>Flexión</t>
  </si>
  <si>
    <t>Vu</t>
  </si>
  <si>
    <t>Mc</t>
  </si>
  <si>
    <t>My</t>
  </si>
  <si>
    <t>L</t>
  </si>
  <si>
    <t>m</t>
  </si>
  <si>
    <t>Mu</t>
  </si>
  <si>
    <t>W</t>
  </si>
  <si>
    <t>D</t>
  </si>
  <si>
    <t>Ms1</t>
  </si>
  <si>
    <t>ex</t>
  </si>
  <si>
    <t>Mmax</t>
  </si>
  <si>
    <t>c1</t>
  </si>
  <si>
    <t>ey</t>
  </si>
  <si>
    <t>Ro</t>
  </si>
  <si>
    <t>c2</t>
  </si>
  <si>
    <t>Sm</t>
  </si>
  <si>
    <t>As</t>
  </si>
  <si>
    <t>cm2/m</t>
  </si>
  <si>
    <t>Sw</t>
  </si>
  <si>
    <t>B'd</t>
  </si>
  <si>
    <t>X</t>
  </si>
  <si>
    <t>H'd</t>
  </si>
  <si>
    <t>Cortante</t>
  </si>
  <si>
    <t>Transimición de momento</t>
  </si>
  <si>
    <t>Li</t>
  </si>
  <si>
    <t>A'</t>
  </si>
  <si>
    <t>cm2</t>
  </si>
  <si>
    <t>0.2Vud</t>
  </si>
  <si>
    <t>Ls</t>
  </si>
  <si>
    <t>w</t>
  </si>
  <si>
    <t>P'</t>
  </si>
  <si>
    <t>Vmax</t>
  </si>
  <si>
    <t>transmitibilidad</t>
  </si>
  <si>
    <t>q</t>
  </si>
  <si>
    <t>Vcr</t>
  </si>
  <si>
    <t>T/m</t>
  </si>
  <si>
    <t>FS</t>
  </si>
  <si>
    <t>Acr</t>
  </si>
  <si>
    <t>m2</t>
  </si>
  <si>
    <t>Revision</t>
  </si>
  <si>
    <t>alfa</t>
  </si>
  <si>
    <t>Direccion y-y</t>
  </si>
  <si>
    <t>alfaMu</t>
  </si>
  <si>
    <t>Cab</t>
  </si>
  <si>
    <t>Ccd</t>
  </si>
  <si>
    <t>Jc</t>
  </si>
  <si>
    <t>MAB</t>
  </si>
  <si>
    <t>MCD</t>
  </si>
  <si>
    <t>VuAB</t>
  </si>
  <si>
    <t>VuCD</t>
  </si>
  <si>
    <t>Direccion Y-Y</t>
  </si>
  <si>
    <t>#4</t>
  </si>
  <si>
    <t>ancho</t>
  </si>
  <si>
    <t>largo</t>
  </si>
  <si>
    <t>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</si>
</sst>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B8" sqref="B8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E3" t="s">
        <v>9</v>
      </c>
      <c r="F3">
        <v>260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0.86399999999999999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30</v>
      </c>
      <c r="C4" t="s">
        <v>8</v>
      </c>
      <c r="E4" t="s">
        <v>18</v>
      </c>
      <c r="F4">
        <v>300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5.6159999999999997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10.8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17.28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v>24.4</v>
      </c>
      <c r="C8" t="s">
        <v>33</v>
      </c>
    </row>
    <row r="9" spans="1:22" x14ac:dyDescent="0.25">
      <c r="A9" t="s">
        <v>34</v>
      </c>
      <c r="B9">
        <f>6+(R3+B8)*F3/2/100</f>
        <v>38.843199999999996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41.68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38.843199999999996</v>
      </c>
      <c r="C18" t="s">
        <v>35</v>
      </c>
      <c r="E18" t="s">
        <v>46</v>
      </c>
      <c r="I18" t="s">
        <v>47</v>
      </c>
      <c r="J18">
        <f>+B8-B8/(B26/10000)*(J21+J20)*(J22+J20)</f>
        <v>15.781873174801838</v>
      </c>
      <c r="K18" t="s">
        <v>33</v>
      </c>
      <c r="M18" t="s">
        <v>48</v>
      </c>
      <c r="N18">
        <f>+$R$3*($F$3/2)</f>
        <v>112.32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0.8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730.07999999999993</v>
      </c>
    </row>
    <row r="20" spans="1:18" x14ac:dyDescent="0.25">
      <c r="E20" t="s">
        <v>53</v>
      </c>
      <c r="F20">
        <f>+B28</f>
        <v>13.983173411208449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1404</v>
      </c>
      <c r="R20">
        <f>1.4*90</f>
        <v>125.99999999999999</v>
      </c>
    </row>
    <row r="21" spans="1:18" x14ac:dyDescent="0.25">
      <c r="A21" t="s">
        <v>56</v>
      </c>
      <c r="B21">
        <f>+B18/B17</f>
        <v>0.93193857965451044</v>
      </c>
      <c r="C21" t="s">
        <v>51</v>
      </c>
      <c r="E21" t="s">
        <v>57</v>
      </c>
      <c r="F21">
        <f>+F20*F19^2/2</f>
        <v>4.4746154915867047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38.843199999999996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0.3</v>
      </c>
      <c r="K22" t="s">
        <v>51</v>
      </c>
      <c r="M22" t="s">
        <v>62</v>
      </c>
      <c r="N22">
        <f>+N18+N19+N20+N21</f>
        <v>2285.2431999999994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1.9405342799580375E-3</v>
      </c>
      <c r="M23" t="s">
        <v>65</v>
      </c>
      <c r="N23">
        <f>+R6</f>
        <v>17.28</v>
      </c>
    </row>
    <row r="24" spans="1:18" x14ac:dyDescent="0.25">
      <c r="A24" t="s">
        <v>66</v>
      </c>
      <c r="B24">
        <f>+F3-2*B21*100</f>
        <v>73.61228406909791</v>
      </c>
      <c r="C24" t="s">
        <v>8</v>
      </c>
      <c r="M24" t="s">
        <v>67</v>
      </c>
      <c r="N24">
        <f>+N22/N23</f>
        <v>132.24787037037032</v>
      </c>
    </row>
    <row r="25" spans="1:18" x14ac:dyDescent="0.25">
      <c r="A25" t="s">
        <v>68</v>
      </c>
      <c r="B25">
        <f>+F4-2*B22*100</f>
        <v>300</v>
      </c>
      <c r="C25" t="s">
        <v>8</v>
      </c>
      <c r="E25" t="s">
        <v>69</v>
      </c>
      <c r="I25" t="s">
        <v>70</v>
      </c>
      <c r="M25" t="s">
        <v>71</v>
      </c>
      <c r="N25">
        <f>+F3/3</f>
        <v>86.666666666666671</v>
      </c>
    </row>
    <row r="26" spans="1:18" x14ac:dyDescent="0.25">
      <c r="A26" t="s">
        <v>72</v>
      </c>
      <c r="B26">
        <f>+B24*B25</f>
        <v>22083.685220729374</v>
      </c>
      <c r="C26" t="s">
        <v>73</v>
      </c>
      <c r="E26" t="s">
        <v>50</v>
      </c>
      <c r="F26">
        <f>+F19-F5/10</f>
        <v>-2.2000000000000002</v>
      </c>
      <c r="I26" t="s">
        <v>74</v>
      </c>
      <c r="J26">
        <f>0.2*J18*$F$5/100</f>
        <v>0.94691239048811038</v>
      </c>
      <c r="K26" t="s">
        <v>33</v>
      </c>
      <c r="M26" t="s">
        <v>75</v>
      </c>
      <c r="N26">
        <f>+F3*2/3</f>
        <v>173.33333333333334</v>
      </c>
    </row>
    <row r="27" spans="1:18" x14ac:dyDescent="0.25">
      <c r="E27" t="s">
        <v>76</v>
      </c>
      <c r="F27">
        <f>+F20</f>
        <v>13.983173411208449</v>
      </c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13.983173411208449</v>
      </c>
      <c r="C28" t="s">
        <v>20</v>
      </c>
      <c r="E28" t="s">
        <v>78</v>
      </c>
      <c r="F28">
        <f>IF(F26&gt;0,F27*F26,0)</f>
        <v>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  <c r="E29" t="s">
        <v>81</v>
      </c>
      <c r="F29">
        <f>0.4*SQRT($N$3)*100*($F$5-$F$6)/1000</f>
        <v>15.811388300841898</v>
      </c>
      <c r="G29" t="s">
        <v>82</v>
      </c>
    </row>
    <row r="30" spans="1:18" x14ac:dyDescent="0.25">
      <c r="A30" t="s">
        <v>83</v>
      </c>
      <c r="B30">
        <f>+B29/B28</f>
        <v>1.0727178701779165</v>
      </c>
      <c r="I30" t="s">
        <v>84</v>
      </c>
      <c r="J30">
        <f>2*J20*(J21+J22+2*J20)</f>
        <v>1.1399999999999999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0.4965294001196433</v>
      </c>
      <c r="M31" t="s">
        <v>45</v>
      </c>
    </row>
    <row r="32" spans="1:18" x14ac:dyDescent="0.25">
      <c r="A32" t="str">
        <f>+IF(1.5&lt;B30,"Pasa","No Pasa")</f>
        <v>No Pasa</v>
      </c>
      <c r="E32" t="s">
        <v>88</v>
      </c>
      <c r="I32" t="s">
        <v>89</v>
      </c>
      <c r="J32">
        <f>+J31*J19</f>
        <v>9.9305880023928665</v>
      </c>
      <c r="M32" t="s">
        <v>48</v>
      </c>
      <c r="N32">
        <f>+$R$3*($F$4/2)</f>
        <v>129.6</v>
      </c>
    </row>
    <row r="33" spans="5:14" x14ac:dyDescent="0.25">
      <c r="E33" t="s">
        <v>46</v>
      </c>
      <c r="I33" t="s">
        <v>90</v>
      </c>
      <c r="J33">
        <f>+(J21+J20)/2</f>
        <v>0.65</v>
      </c>
      <c r="M33" t="s">
        <v>48</v>
      </c>
      <c r="N33">
        <f>+$R$4*$F$4/2</f>
        <v>842.4</v>
      </c>
    </row>
    <row r="34" spans="5:14" x14ac:dyDescent="0.25">
      <c r="E34" t="s">
        <v>50</v>
      </c>
      <c r="F34">
        <f>+(F4-B4)/2/100</f>
        <v>1.35</v>
      </c>
      <c r="G34" t="s">
        <v>51</v>
      </c>
      <c r="I34" t="s">
        <v>91</v>
      </c>
      <c r="J34">
        <f>+(J22+J20)/2</f>
        <v>0.3</v>
      </c>
      <c r="M34" t="s">
        <v>55</v>
      </c>
      <c r="N34">
        <f>+$R$5*$F$4/2</f>
        <v>1620</v>
      </c>
    </row>
    <row r="35" spans="5:14" x14ac:dyDescent="0.25">
      <c r="E35" t="s">
        <v>53</v>
      </c>
      <c r="F35">
        <f>+B28</f>
        <v>13.983173411208449</v>
      </c>
      <c r="G35" t="s">
        <v>20</v>
      </c>
      <c r="I35" t="s">
        <v>92</v>
      </c>
      <c r="J35">
        <f>+J20*(J21+J20)^3/6+(J21+J20)*J20^3/6+J20*(J22+J20)*(J21+J20)^2/2</f>
        <v>0.26780000000000004</v>
      </c>
      <c r="M35" t="s">
        <v>34</v>
      </c>
      <c r="N35">
        <f>+$B$10</f>
        <v>0</v>
      </c>
    </row>
    <row r="36" spans="5:14" x14ac:dyDescent="0.25">
      <c r="E36" t="s">
        <v>57</v>
      </c>
      <c r="F36">
        <f>+F35*F34^2/2</f>
        <v>12.742166770963701</v>
      </c>
      <c r="G36" t="s">
        <v>35</v>
      </c>
      <c r="I36" t="s">
        <v>93</v>
      </c>
      <c r="J36">
        <f>+J32*J33/J35</f>
        <v>24.10336893784676</v>
      </c>
      <c r="M36" t="s">
        <v>62</v>
      </c>
      <c r="N36">
        <f>+N32+N33+N34+N35</f>
        <v>2592</v>
      </c>
    </row>
    <row r="37" spans="5:14" x14ac:dyDescent="0.25">
      <c r="E37" t="s">
        <v>60</v>
      </c>
      <c r="F37">
        <f>+IF(H38&lt;U4,U4,H38)</f>
        <v>5.8105801401237347E-3</v>
      </c>
      <c r="H37">
        <f>0.9*100*($F$5-$F$6)^2*$N$5</f>
        <v>9562500</v>
      </c>
      <c r="I37" t="s">
        <v>94</v>
      </c>
      <c r="J37">
        <f>+J32*J34/J35</f>
        <v>11.124631817467735</v>
      </c>
      <c r="M37" t="s">
        <v>65</v>
      </c>
      <c r="N37">
        <f>+R6</f>
        <v>17.28</v>
      </c>
    </row>
    <row r="38" spans="5:14" x14ac:dyDescent="0.25">
      <c r="E38" t="s">
        <v>63</v>
      </c>
      <c r="F38">
        <f>+F37*100*$F$5</f>
        <v>17.431740420371202</v>
      </c>
      <c r="G38" t="s">
        <v>64</v>
      </c>
      <c r="H38">
        <f>(1-(SQRT(H37*(H37-2*F36*100000)))/H37)*N5/U3</f>
        <v>5.8105801401237347E-3</v>
      </c>
      <c r="I38" t="s">
        <v>47</v>
      </c>
      <c r="J38">
        <f>+J18</f>
        <v>15.781873174801838</v>
      </c>
      <c r="K38" t="s">
        <v>82</v>
      </c>
      <c r="M38" t="s">
        <v>67</v>
      </c>
      <c r="N38">
        <f>+N36/N37</f>
        <v>150</v>
      </c>
    </row>
    <row r="39" spans="5:14" x14ac:dyDescent="0.25">
      <c r="I39" t="s">
        <v>95</v>
      </c>
      <c r="J39">
        <f>+J38+J36*J28</f>
        <v>39.885242112648598</v>
      </c>
      <c r="K39" t="s">
        <v>82</v>
      </c>
      <c r="M39" t="s">
        <v>71</v>
      </c>
      <c r="N39">
        <f>+F4/3</f>
        <v>100</v>
      </c>
    </row>
    <row r="40" spans="5:14" x14ac:dyDescent="0.25">
      <c r="E40" t="s">
        <v>69</v>
      </c>
      <c r="I40" t="s">
        <v>96</v>
      </c>
      <c r="J40">
        <f>+J38-J28*J37</f>
        <v>4.6572413573341027</v>
      </c>
      <c r="K40" t="s">
        <v>82</v>
      </c>
      <c r="M40" t="s">
        <v>75</v>
      </c>
      <c r="N40">
        <f>+F4*2/3</f>
        <v>200</v>
      </c>
    </row>
    <row r="41" spans="5:14" x14ac:dyDescent="0.25">
      <c r="E41" t="s">
        <v>50</v>
      </c>
      <c r="F41">
        <f>+F34-F5/10</f>
        <v>-1.65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76</v>
      </c>
      <c r="F42">
        <f>+F35</f>
        <v>13.983173411208449</v>
      </c>
      <c r="I42" t="str">
        <f>+IF(J41&lt;J39,"No Pasa","Pasa")</f>
        <v>Pasa</v>
      </c>
    </row>
    <row r="43" spans="5:14" x14ac:dyDescent="0.25">
      <c r="E43" t="s">
        <v>78</v>
      </c>
      <c r="F43">
        <f>IF(F41&gt;0,F42*F41,0)</f>
        <v>0</v>
      </c>
    </row>
    <row r="44" spans="5:14" x14ac:dyDescent="0.25">
      <c r="E44" t="s">
        <v>81</v>
      </c>
      <c r="F44">
        <f>0.4*SQRT($N$3)*100*($F$5-$F$6)/1000</f>
        <v>15.811388300841898</v>
      </c>
    </row>
    <row r="47" spans="5:14" x14ac:dyDescent="0.25">
      <c r="I47" t="s">
        <v>41</v>
      </c>
    </row>
    <row r="48" spans="5:14" x14ac:dyDescent="0.25">
      <c r="I48" t="s">
        <v>97</v>
      </c>
    </row>
    <row r="49" spans="9:11" x14ac:dyDescent="0.25">
      <c r="I49" t="s">
        <v>47</v>
      </c>
      <c r="J49">
        <f>+$J$18</f>
        <v>15.781873174801838</v>
      </c>
      <c r="K49" t="s">
        <v>33</v>
      </c>
    </row>
    <row r="50" spans="9:11" x14ac:dyDescent="0.25">
      <c r="I50" t="s">
        <v>52</v>
      </c>
      <c r="J50">
        <f>+$B$10</f>
        <v>0</v>
      </c>
      <c r="K50" t="s">
        <v>35</v>
      </c>
    </row>
    <row r="51" spans="9:11" x14ac:dyDescent="0.25">
      <c r="I51" t="s">
        <v>54</v>
      </c>
      <c r="J51">
        <f>+$F$5/100</f>
        <v>0.3</v>
      </c>
      <c r="K51" t="s">
        <v>51</v>
      </c>
    </row>
    <row r="52" spans="9:11" x14ac:dyDescent="0.25">
      <c r="I52" t="s">
        <v>58</v>
      </c>
      <c r="J52">
        <f>+$B$4/100</f>
        <v>0.3</v>
      </c>
      <c r="K52" t="s">
        <v>51</v>
      </c>
    </row>
    <row r="53" spans="9:11" x14ac:dyDescent="0.25">
      <c r="I53" t="s">
        <v>61</v>
      </c>
      <c r="J53">
        <f>+$B$3/100</f>
        <v>1</v>
      </c>
      <c r="K53" t="s">
        <v>51</v>
      </c>
    </row>
    <row r="56" spans="9:11" x14ac:dyDescent="0.25">
      <c r="I56" t="s">
        <v>70</v>
      </c>
    </row>
    <row r="57" spans="9:11" x14ac:dyDescent="0.25">
      <c r="I57" t="s">
        <v>74</v>
      </c>
      <c r="J57">
        <f>0.2*J49*$F$5/100</f>
        <v>0.94691239048811038</v>
      </c>
      <c r="K57" t="s">
        <v>33</v>
      </c>
    </row>
    <row r="58" spans="9:11" x14ac:dyDescent="0.25">
      <c r="I58" t="str">
        <f>+IF(J57&lt;J50,"Si hay tranmición de momento","No hay transmición de momentos")</f>
        <v>No hay transmición de momentos</v>
      </c>
    </row>
    <row r="59" spans="9:11" x14ac:dyDescent="0.25">
      <c r="I59" t="s">
        <v>79</v>
      </c>
      <c r="J59">
        <f>+IF(J57&lt;J50,1,0)</f>
        <v>0</v>
      </c>
    </row>
    <row r="61" spans="9:11" x14ac:dyDescent="0.25">
      <c r="I61" t="s">
        <v>84</v>
      </c>
      <c r="J61">
        <f>2*J51*(J52+J53+2*J51)</f>
        <v>1.1399999999999999</v>
      </c>
      <c r="K61" t="s">
        <v>85</v>
      </c>
    </row>
    <row r="62" spans="9:11" x14ac:dyDescent="0.25">
      <c r="I62" t="s">
        <v>87</v>
      </c>
      <c r="J62">
        <f>1-1/(1+0.67*SQRT((J52+J51)/(J53+J51)))</f>
        <v>0.31279760352004127</v>
      </c>
    </row>
    <row r="63" spans="9:11" x14ac:dyDescent="0.25">
      <c r="I63" t="s">
        <v>89</v>
      </c>
      <c r="J63">
        <f>+J62*J50</f>
        <v>0</v>
      </c>
    </row>
    <row r="64" spans="9:11" x14ac:dyDescent="0.25">
      <c r="I64" t="s">
        <v>90</v>
      </c>
      <c r="J64">
        <f>+(J52+J51)/2</f>
        <v>0.3</v>
      </c>
    </row>
    <row r="65" spans="9:10" x14ac:dyDescent="0.25">
      <c r="I65" t="s">
        <v>91</v>
      </c>
      <c r="J65">
        <f>+(J53+J51)/2</f>
        <v>0.65</v>
      </c>
    </row>
    <row r="66" spans="9:10" x14ac:dyDescent="0.25">
      <c r="I66" t="s">
        <v>92</v>
      </c>
      <c r="J66">
        <f>+J51*(J52+J51)^3/6+(J52+J51)*J51^3/6+J51*(J53+J51)*(J52+J51)^2/2</f>
        <v>8.3699999999999997E-2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15.781873174801838</v>
      </c>
    </row>
    <row r="70" spans="9:10" x14ac:dyDescent="0.25">
      <c r="I70" t="s">
        <v>95</v>
      </c>
      <c r="J70">
        <f>+J69+J67*J59</f>
        <v>15.781873174801838</v>
      </c>
    </row>
    <row r="71" spans="9:10" x14ac:dyDescent="0.25">
      <c r="I71" t="s">
        <v>96</v>
      </c>
      <c r="J71">
        <f>+J69-J59*J68</f>
        <v>15.781873174801838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sqref="A1:XFD1048576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200</v>
      </c>
      <c r="C3" t="s">
        <v>8</v>
      </c>
      <c r="D3" t="s">
        <v>99</v>
      </c>
      <c r="E3" t="s">
        <v>9</v>
      </c>
      <c r="F3">
        <v>250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0.86399999999999999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15</v>
      </c>
      <c r="C4" t="s">
        <v>8</v>
      </c>
      <c r="D4" t="s">
        <v>100</v>
      </c>
      <c r="E4" t="s">
        <v>18</v>
      </c>
      <c r="F4">
        <v>200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3.5999999999999996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6.7680000000000007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11.231999999999999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12.8+2.1*F4/100</f>
        <v>17</v>
      </c>
      <c r="C8" t="s">
        <v>33</v>
      </c>
    </row>
    <row r="9" spans="1:22" x14ac:dyDescent="0.25">
      <c r="A9" t="s">
        <v>34</v>
      </c>
      <c r="B9">
        <f>3+(R3+B8)*F3/2/100</f>
        <v>25.33</v>
      </c>
      <c r="C9" t="s">
        <v>35</v>
      </c>
      <c r="F9" t="s">
        <v>101</v>
      </c>
      <c r="G9">
        <f>+R5</f>
        <v>6.7680000000000007</v>
      </c>
      <c r="I9">
        <v>22.5</v>
      </c>
    </row>
    <row r="10" spans="1:22" x14ac:dyDescent="0.25">
      <c r="A10" t="s">
        <v>36</v>
      </c>
      <c r="B10">
        <v>0</v>
      </c>
      <c r="C10" t="s">
        <v>35</v>
      </c>
      <c r="F10" t="s">
        <v>32</v>
      </c>
      <c r="G10">
        <f>+B17-G9</f>
        <v>21.463999999999999</v>
      </c>
      <c r="I10">
        <v>21.4</v>
      </c>
    </row>
    <row r="11" spans="1:22" x14ac:dyDescent="0.25">
      <c r="A11" t="s">
        <v>37</v>
      </c>
    </row>
    <row r="12" spans="1:22" x14ac:dyDescent="0.25">
      <c r="A12" t="s">
        <v>38</v>
      </c>
      <c r="G12">
        <v>0.7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28.231999999999999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25.33</v>
      </c>
      <c r="C18" t="s">
        <v>35</v>
      </c>
      <c r="E18" t="s">
        <v>46</v>
      </c>
      <c r="I18" t="s">
        <v>47</v>
      </c>
      <c r="J18">
        <f>+B8-B8/(B26/10000)*(J21+J20)*(J22+J20)</f>
        <v>4.531575301204823</v>
      </c>
      <c r="K18" t="s">
        <v>33</v>
      </c>
      <c r="M18" t="s">
        <v>48</v>
      </c>
      <c r="N18">
        <f>+$R$3*($F$3/2)</f>
        <v>108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0.25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449.99999999999994</v>
      </c>
    </row>
    <row r="20" spans="1:18" x14ac:dyDescent="0.25">
      <c r="E20" t="s">
        <v>53</v>
      </c>
      <c r="F20">
        <f>+B28</f>
        <v>15.21013172690763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846.00000000000011</v>
      </c>
      <c r="R20">
        <f>1.4*90</f>
        <v>125.99999999999999</v>
      </c>
    </row>
    <row r="21" spans="1:18" x14ac:dyDescent="0.25">
      <c r="A21" t="s">
        <v>56</v>
      </c>
      <c r="B21">
        <f>+B18/B17</f>
        <v>0.8972088410314536</v>
      </c>
      <c r="C21" t="s">
        <v>51</v>
      </c>
      <c r="E21" t="s">
        <v>57</v>
      </c>
      <c r="F21">
        <f>+F20*F19^2/2</f>
        <v>0.47531661646586343</v>
      </c>
      <c r="G21" t="s">
        <v>35</v>
      </c>
      <c r="I21" t="s">
        <v>58</v>
      </c>
      <c r="J21">
        <f>+$B$3/100</f>
        <v>2</v>
      </c>
      <c r="K21" t="s">
        <v>51</v>
      </c>
      <c r="M21" t="s">
        <v>34</v>
      </c>
      <c r="N21">
        <f>+$B$9</f>
        <v>25.33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0.15</v>
      </c>
      <c r="K22" t="s">
        <v>51</v>
      </c>
      <c r="M22" t="s">
        <v>62</v>
      </c>
      <c r="N22">
        <f>+N18+N19+N20+N21</f>
        <v>1429.33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2.0169474577455204E-4</v>
      </c>
      <c r="M23" t="s">
        <v>65</v>
      </c>
      <c r="N23">
        <f>+R6</f>
        <v>11.231999999999999</v>
      </c>
    </row>
    <row r="24" spans="1:18" x14ac:dyDescent="0.25">
      <c r="A24" t="s">
        <v>66</v>
      </c>
      <c r="B24">
        <f>+F3-2*B21*100</f>
        <v>70.558231793709268</v>
      </c>
      <c r="C24" t="s">
        <v>8</v>
      </c>
      <c r="M24" t="s">
        <v>67</v>
      </c>
      <c r="N24">
        <f>+N22/N23</f>
        <v>127.25516381766381</v>
      </c>
    </row>
    <row r="25" spans="1:18" x14ac:dyDescent="0.25">
      <c r="A25" t="s">
        <v>68</v>
      </c>
      <c r="B25">
        <f>+F4-2*B22*100</f>
        <v>200</v>
      </c>
      <c r="C25" t="s">
        <v>8</v>
      </c>
      <c r="E25" t="s">
        <v>69</v>
      </c>
      <c r="I25" t="s">
        <v>70</v>
      </c>
      <c r="M25" t="s">
        <v>71</v>
      </c>
      <c r="N25">
        <f>+F3/3</f>
        <v>83.333333333333329</v>
      </c>
    </row>
    <row r="26" spans="1:18" x14ac:dyDescent="0.25">
      <c r="A26" t="s">
        <v>72</v>
      </c>
      <c r="B26">
        <f>+B24*B25</f>
        <v>14111.646358741853</v>
      </c>
      <c r="C26" t="s">
        <v>73</v>
      </c>
      <c r="E26" t="s">
        <v>50</v>
      </c>
      <c r="F26">
        <f>+F19-F5/10</f>
        <v>-2.75</v>
      </c>
      <c r="I26" t="s">
        <v>74</v>
      </c>
      <c r="J26">
        <f>0.2*J18*$F$5/100</f>
        <v>0.27189451807228937</v>
      </c>
      <c r="K26" t="s">
        <v>33</v>
      </c>
      <c r="M26" t="s">
        <v>75</v>
      </c>
      <c r="N26">
        <f>+F3*2/3</f>
        <v>166.66666666666666</v>
      </c>
    </row>
    <row r="27" spans="1:18" x14ac:dyDescent="0.25">
      <c r="E27" t="s">
        <v>76</v>
      </c>
      <c r="F27">
        <f>+F20</f>
        <v>15.21013172690763</v>
      </c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15.21013172690763</v>
      </c>
      <c r="C28" t="s">
        <v>20</v>
      </c>
      <c r="E28" t="s">
        <v>78</v>
      </c>
      <c r="F28">
        <f>IF(F26&gt;0,F27*F26,0)</f>
        <v>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  <c r="E29" t="s">
        <v>81</v>
      </c>
      <c r="F29">
        <f>0.4*SQRT($N$3)*100*($F$5-$F$6)/1000</f>
        <v>15.811388300841898</v>
      </c>
      <c r="G29" t="s">
        <v>82</v>
      </c>
    </row>
    <row r="30" spans="1:18" x14ac:dyDescent="0.25">
      <c r="A30" t="s">
        <v>83</v>
      </c>
      <c r="B30">
        <f>+B29/B28</f>
        <v>0.98618475298699126</v>
      </c>
      <c r="I30" t="s">
        <v>84</v>
      </c>
      <c r="J30">
        <f>2*J20*(J21+J22+2*J20)</f>
        <v>1.65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0.60234147114170788</v>
      </c>
      <c r="M31" t="s">
        <v>45</v>
      </c>
    </row>
    <row r="32" spans="1:18" x14ac:dyDescent="0.25">
      <c r="A32" t="str">
        <f>+IF(1.5&lt;B30,"Pasa","No Pasa")</f>
        <v>No Pasa</v>
      </c>
      <c r="E32" t="s">
        <v>88</v>
      </c>
      <c r="I32" t="s">
        <v>89</v>
      </c>
      <c r="J32">
        <f>+J31*J19</f>
        <v>12.046829422834158</v>
      </c>
      <c r="M32" t="s">
        <v>48</v>
      </c>
      <c r="N32">
        <f>+$R$3*($F$4/2)</f>
        <v>86.4</v>
      </c>
    </row>
    <row r="33" spans="5:14" x14ac:dyDescent="0.25">
      <c r="E33" t="s">
        <v>46</v>
      </c>
      <c r="I33" t="s">
        <v>90</v>
      </c>
      <c r="J33">
        <f>+(J21+J20)/2</f>
        <v>1.1499999999999999</v>
      </c>
      <c r="M33" t="s">
        <v>48</v>
      </c>
      <c r="N33">
        <f>+$R$4*$F$4/2</f>
        <v>359.99999999999994</v>
      </c>
    </row>
    <row r="34" spans="5:14" x14ac:dyDescent="0.25">
      <c r="E34" t="s">
        <v>50</v>
      </c>
      <c r="F34">
        <f>+(F4-B4)/2/100</f>
        <v>0.92500000000000004</v>
      </c>
      <c r="G34" t="s">
        <v>51</v>
      </c>
      <c r="I34" t="s">
        <v>91</v>
      </c>
      <c r="J34">
        <f>+(J22+J20)/2</f>
        <v>0.22499999999999998</v>
      </c>
      <c r="M34" t="s">
        <v>55</v>
      </c>
      <c r="N34">
        <f>+$R$5*$F$4/2</f>
        <v>676.80000000000007</v>
      </c>
    </row>
    <row r="35" spans="5:14" x14ac:dyDescent="0.25">
      <c r="E35" t="s">
        <v>53</v>
      </c>
      <c r="F35">
        <f>+B28</f>
        <v>15.21013172690763</v>
      </c>
      <c r="G35" t="s">
        <v>20</v>
      </c>
      <c r="I35" t="s">
        <v>92</v>
      </c>
      <c r="J35">
        <f>+J20*(J21+J20)^3/6+(J21+J20)*J20^3/6+J20*(J22+J20)*(J21+J20)^2/2</f>
        <v>0.97577499999999973</v>
      </c>
      <c r="M35" t="s">
        <v>34</v>
      </c>
      <c r="N35">
        <f>+$B$10</f>
        <v>0</v>
      </c>
    </row>
    <row r="36" spans="5:14" x14ac:dyDescent="0.25">
      <c r="E36" t="s">
        <v>57</v>
      </c>
      <c r="F36">
        <f>+F35*F34^2/2</f>
        <v>6.5070844794176708</v>
      </c>
      <c r="G36" t="s">
        <v>35</v>
      </c>
      <c r="I36" t="s">
        <v>93</v>
      </c>
      <c r="J36">
        <f>+J32*J33/J35</f>
        <v>14.197795430564714</v>
      </c>
      <c r="M36" t="s">
        <v>62</v>
      </c>
      <c r="N36">
        <f>+N32+N33+N34+N35</f>
        <v>1123.2</v>
      </c>
    </row>
    <row r="37" spans="5:14" x14ac:dyDescent="0.25">
      <c r="E37" t="s">
        <v>60</v>
      </c>
      <c r="F37">
        <f>+IF(H38&lt;U4,U4,H38)</f>
        <v>2.8550114099264519E-3</v>
      </c>
      <c r="H37">
        <f>0.9*100*($F$5-$F$6)^2*$N$5</f>
        <v>9562500</v>
      </c>
      <c r="I37" t="s">
        <v>94</v>
      </c>
      <c r="J37">
        <f>+J32*J34/J35</f>
        <v>2.7778295407626614</v>
      </c>
      <c r="M37" t="s">
        <v>65</v>
      </c>
      <c r="N37">
        <f>+R6</f>
        <v>11.231999999999999</v>
      </c>
    </row>
    <row r="38" spans="5:14" x14ac:dyDescent="0.25">
      <c r="E38" t="s">
        <v>63</v>
      </c>
      <c r="F38">
        <f>+F37*100*$F$5</f>
        <v>8.5650342297793554</v>
      </c>
      <c r="G38" t="s">
        <v>64</v>
      </c>
      <c r="H38">
        <f>(1-(SQRT(H37*(H37-2*F36*100000)))/H37)*N5/U3</f>
        <v>2.8550114099264519E-3</v>
      </c>
      <c r="I38" t="s">
        <v>47</v>
      </c>
      <c r="J38">
        <f>+J18</f>
        <v>4.531575301204823</v>
      </c>
      <c r="K38" t="s">
        <v>82</v>
      </c>
      <c r="M38" t="s">
        <v>67</v>
      </c>
      <c r="N38">
        <f>+N36/N37</f>
        <v>100.00000000000001</v>
      </c>
    </row>
    <row r="39" spans="5:14" x14ac:dyDescent="0.25">
      <c r="I39" t="s">
        <v>95</v>
      </c>
      <c r="J39">
        <f>+J38+J36*J28</f>
        <v>18.729370731769535</v>
      </c>
      <c r="K39" t="s">
        <v>82</v>
      </c>
      <c r="M39" t="s">
        <v>71</v>
      </c>
      <c r="N39">
        <f>+F4/3</f>
        <v>66.666666666666671</v>
      </c>
    </row>
    <row r="40" spans="5:14" x14ac:dyDescent="0.25">
      <c r="E40" t="s">
        <v>69</v>
      </c>
      <c r="I40" t="s">
        <v>96</v>
      </c>
      <c r="J40">
        <f>+J38-J28*J37</f>
        <v>1.7537457604421616</v>
      </c>
      <c r="K40" t="s">
        <v>82</v>
      </c>
      <c r="M40" t="s">
        <v>75</v>
      </c>
      <c r="N40">
        <f>+F4*2/3</f>
        <v>133.33333333333334</v>
      </c>
    </row>
    <row r="41" spans="5:14" x14ac:dyDescent="0.25">
      <c r="E41" t="s">
        <v>50</v>
      </c>
      <c r="F41">
        <f>+F34-F5/10</f>
        <v>-2.0750000000000002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76</v>
      </c>
      <c r="F42">
        <f>+F35</f>
        <v>15.21013172690763</v>
      </c>
      <c r="I42" t="str">
        <f>+IF(J41&lt;J39,"No Pasa","Pasa")</f>
        <v>Pasa</v>
      </c>
    </row>
    <row r="43" spans="5:14" x14ac:dyDescent="0.25">
      <c r="E43" t="s">
        <v>78</v>
      </c>
      <c r="F43">
        <f>IF(F41&gt;0,F42*F41,0)</f>
        <v>0</v>
      </c>
    </row>
    <row r="44" spans="5:14" x14ac:dyDescent="0.25">
      <c r="E44" t="s">
        <v>81</v>
      </c>
      <c r="F44">
        <f>0.4*SQRT($N$3)*100*($F$5-$F$6)/1000</f>
        <v>15.811388300841898</v>
      </c>
    </row>
    <row r="47" spans="5:14" x14ac:dyDescent="0.25">
      <c r="I47" t="s">
        <v>41</v>
      </c>
    </row>
    <row r="48" spans="5:14" x14ac:dyDescent="0.25">
      <c r="I48" t="s">
        <v>97</v>
      </c>
    </row>
    <row r="49" spans="9:11" x14ac:dyDescent="0.25">
      <c r="I49" t="s">
        <v>47</v>
      </c>
      <c r="J49">
        <f>+$J$18</f>
        <v>4.531575301204823</v>
      </c>
      <c r="K49" t="s">
        <v>33</v>
      </c>
    </row>
    <row r="50" spans="9:11" x14ac:dyDescent="0.25">
      <c r="I50" t="s">
        <v>52</v>
      </c>
      <c r="J50">
        <f>+$B$10</f>
        <v>0</v>
      </c>
      <c r="K50" t="s">
        <v>35</v>
      </c>
    </row>
    <row r="51" spans="9:11" x14ac:dyDescent="0.25">
      <c r="I51" t="s">
        <v>54</v>
      </c>
      <c r="J51">
        <f>+$F$5/100</f>
        <v>0.3</v>
      </c>
      <c r="K51" t="s">
        <v>51</v>
      </c>
    </row>
    <row r="52" spans="9:11" x14ac:dyDescent="0.25">
      <c r="I52" t="s">
        <v>58</v>
      </c>
      <c r="J52">
        <f>+$B$4/100</f>
        <v>0.15</v>
      </c>
      <c r="K52" t="s">
        <v>51</v>
      </c>
    </row>
    <row r="53" spans="9:11" x14ac:dyDescent="0.25">
      <c r="I53" t="s">
        <v>61</v>
      </c>
      <c r="J53">
        <f>+$B$3/100</f>
        <v>2</v>
      </c>
      <c r="K53" t="s">
        <v>51</v>
      </c>
    </row>
    <row r="56" spans="9:11" x14ac:dyDescent="0.25">
      <c r="I56" t="s">
        <v>70</v>
      </c>
    </row>
    <row r="57" spans="9:11" x14ac:dyDescent="0.25">
      <c r="I57" t="s">
        <v>74</v>
      </c>
      <c r="J57">
        <f>0.2*J49*$F$5/100</f>
        <v>0.27189451807228937</v>
      </c>
      <c r="K57" t="s">
        <v>33</v>
      </c>
    </row>
    <row r="58" spans="9:11" x14ac:dyDescent="0.25">
      <c r="I58" t="str">
        <f>+IF(J57&lt;J50,"Si hay tranmición de momento","No hay transmición de momentos")</f>
        <v>No hay transmición de momentos</v>
      </c>
    </row>
    <row r="59" spans="9:11" x14ac:dyDescent="0.25">
      <c r="I59" t="s">
        <v>79</v>
      </c>
      <c r="J59">
        <f>+IF(J57&lt;J50,1,0)</f>
        <v>0</v>
      </c>
    </row>
    <row r="61" spans="9:11" x14ac:dyDescent="0.25">
      <c r="I61" t="s">
        <v>84</v>
      </c>
      <c r="J61">
        <f>2*J51*(J52+J53+2*J51)</f>
        <v>1.65</v>
      </c>
      <c r="K61" t="s">
        <v>85</v>
      </c>
    </row>
    <row r="62" spans="9:11" x14ac:dyDescent="0.25">
      <c r="I62" t="s">
        <v>87</v>
      </c>
      <c r="J62">
        <f>1-1/(1+0.67*SQRT((J52+J51)/(J53+J51)))</f>
        <v>0.22860834430210242</v>
      </c>
    </row>
    <row r="63" spans="9:11" x14ac:dyDescent="0.25">
      <c r="I63" t="s">
        <v>89</v>
      </c>
      <c r="J63">
        <f>+J62*J50</f>
        <v>0</v>
      </c>
    </row>
    <row r="64" spans="9:11" x14ac:dyDescent="0.25">
      <c r="I64" t="s">
        <v>90</v>
      </c>
      <c r="J64">
        <f>+(J52+J51)/2</f>
        <v>0.22499999999999998</v>
      </c>
    </row>
    <row r="65" spans="9:10" x14ac:dyDescent="0.25">
      <c r="I65" t="s">
        <v>91</v>
      </c>
      <c r="J65">
        <f>+(J53+J51)/2</f>
        <v>1.1499999999999999</v>
      </c>
    </row>
    <row r="66" spans="9:10" x14ac:dyDescent="0.25">
      <c r="I66" t="s">
        <v>92</v>
      </c>
      <c r="J66">
        <f>+J51*(J52+J51)^3/6+(J52+J51)*J51^3/6+J51*(J53+J51)*(J52+J51)^2/2</f>
        <v>7.6443749999999977E-2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4.531575301204823</v>
      </c>
    </row>
    <row r="70" spans="9:10" x14ac:dyDescent="0.25">
      <c r="I70" t="s">
        <v>95</v>
      </c>
      <c r="J70">
        <f>+J69+J67*J59</f>
        <v>4.531575301204823</v>
      </c>
    </row>
    <row r="71" spans="9:10" x14ac:dyDescent="0.25">
      <c r="I71" t="s">
        <v>96</v>
      </c>
      <c r="J71">
        <f>+J69-J59*J68</f>
        <v>4.531575301204823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selection activeCell="B10" sqref="B10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200</v>
      </c>
      <c r="C3" t="s">
        <v>8</v>
      </c>
      <c r="D3" t="s">
        <v>99</v>
      </c>
      <c r="E3" t="s">
        <v>9</v>
      </c>
      <c r="F3">
        <v>250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0.86399999999999999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15</v>
      </c>
      <c r="C4" t="s">
        <v>8</v>
      </c>
      <c r="D4" t="s">
        <v>100</v>
      </c>
      <c r="E4" t="s">
        <v>18</v>
      </c>
      <c r="F4">
        <v>200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3.5999999999999996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6.7680000000000007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11.231999999999999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6.3+2.1*F4/100</f>
        <v>10.5</v>
      </c>
      <c r="C8" t="s">
        <v>33</v>
      </c>
    </row>
    <row r="9" spans="1:22" x14ac:dyDescent="0.25">
      <c r="A9" t="s">
        <v>34</v>
      </c>
      <c r="B9">
        <f>1.48+($R$3+$B$8)*F3/2/100</f>
        <v>15.685</v>
      </c>
      <c r="C9" t="s">
        <v>35</v>
      </c>
      <c r="F9" t="s">
        <v>101</v>
      </c>
      <c r="G9">
        <f>+R5</f>
        <v>6.7680000000000007</v>
      </c>
      <c r="I9">
        <v>22.5</v>
      </c>
    </row>
    <row r="10" spans="1:22" x14ac:dyDescent="0.25">
      <c r="A10" t="s">
        <v>36</v>
      </c>
      <c r="B10">
        <f>0.6+($R$3+$B$8)*F4/2/100</f>
        <v>11.964</v>
      </c>
      <c r="C10" t="s">
        <v>35</v>
      </c>
      <c r="F10" t="s">
        <v>32</v>
      </c>
      <c r="G10">
        <f>+B17-G9</f>
        <v>14.963999999999999</v>
      </c>
      <c r="I10">
        <v>21.4</v>
      </c>
    </row>
    <row r="11" spans="1:22" x14ac:dyDescent="0.25">
      <c r="A11" t="s">
        <v>37</v>
      </c>
    </row>
    <row r="12" spans="1:22" x14ac:dyDescent="0.25">
      <c r="A12" t="s">
        <v>38</v>
      </c>
      <c r="G12">
        <v>0.7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21.731999999999999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15.685</v>
      </c>
      <c r="C18" t="s">
        <v>35</v>
      </c>
      <c r="E18" t="s">
        <v>46</v>
      </c>
      <c r="I18" t="s">
        <v>47</v>
      </c>
      <c r="J18">
        <f>+B8-B8/(B26/10000)*(J21+J20)*(J22+J20)</f>
        <v>-0.94251554915502922</v>
      </c>
      <c r="K18" t="s">
        <v>33</v>
      </c>
      <c r="M18" t="s">
        <v>48</v>
      </c>
      <c r="N18">
        <f>+$R$3*($F$3/2)</f>
        <v>108</v>
      </c>
    </row>
    <row r="19" spans="1:18" x14ac:dyDescent="0.25">
      <c r="A19" t="s">
        <v>49</v>
      </c>
      <c r="B19">
        <f>+B10</f>
        <v>11.964</v>
      </c>
      <c r="C19" t="s">
        <v>35</v>
      </c>
      <c r="E19" t="s">
        <v>50</v>
      </c>
      <c r="F19">
        <f>+(F3-B3)/2/100</f>
        <v>0.25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449.99999999999994</v>
      </c>
    </row>
    <row r="20" spans="1:18" x14ac:dyDescent="0.25">
      <c r="E20" t="s">
        <v>53</v>
      </c>
      <c r="F20">
        <f>+B28</f>
        <v>15.75576744214915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846.00000000000011</v>
      </c>
      <c r="R20">
        <f>1.4*90</f>
        <v>125.99999999999999</v>
      </c>
    </row>
    <row r="21" spans="1:18" x14ac:dyDescent="0.25">
      <c r="A21" t="s">
        <v>56</v>
      </c>
      <c r="B21">
        <f>+B18/B17</f>
        <v>0.72174673292840053</v>
      </c>
      <c r="C21" t="s">
        <v>51</v>
      </c>
      <c r="E21" t="s">
        <v>57</v>
      </c>
      <c r="F21">
        <f>+F20*F19^2/2</f>
        <v>0.49236773256716093</v>
      </c>
      <c r="G21" t="s">
        <v>35</v>
      </c>
      <c r="I21" t="s">
        <v>58</v>
      </c>
      <c r="J21">
        <f>+$B$3/100</f>
        <v>2</v>
      </c>
      <c r="K21" t="s">
        <v>51</v>
      </c>
      <c r="M21" t="s">
        <v>34</v>
      </c>
      <c r="N21">
        <f>+$B$9</f>
        <v>15.685</v>
      </c>
      <c r="R21">
        <f>16.81*0.9*0.9</f>
        <v>13.616099999999999</v>
      </c>
    </row>
    <row r="22" spans="1:18" x14ac:dyDescent="0.25">
      <c r="A22" t="s">
        <v>59</v>
      </c>
      <c r="B22">
        <f>+B19/B17</f>
        <v>0.55052457205963556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0.15</v>
      </c>
      <c r="K22" t="s">
        <v>51</v>
      </c>
      <c r="M22" t="s">
        <v>62</v>
      </c>
      <c r="N22">
        <f>+N18+N19+N20+N21</f>
        <v>1419.6849999999999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2.0894894749526804E-4</v>
      </c>
      <c r="M23" t="s">
        <v>65</v>
      </c>
      <c r="N23">
        <f>+R6</f>
        <v>11.231999999999999</v>
      </c>
    </row>
    <row r="24" spans="1:18" x14ac:dyDescent="0.25">
      <c r="A24" t="s">
        <v>66</v>
      </c>
      <c r="B24">
        <f>+F3-2*B21*100</f>
        <v>105.65065341431989</v>
      </c>
      <c r="C24" t="s">
        <v>8</v>
      </c>
      <c r="M24" t="s">
        <v>67</v>
      </c>
      <c r="N24">
        <f>+N22/N23</f>
        <v>126.39645655270655</v>
      </c>
    </row>
    <row r="25" spans="1:18" x14ac:dyDescent="0.25">
      <c r="A25" t="s">
        <v>68</v>
      </c>
      <c r="B25">
        <f>+F4-2*B22*100</f>
        <v>89.895085588072888</v>
      </c>
      <c r="C25" t="s">
        <v>8</v>
      </c>
      <c r="E25" t="s">
        <v>69</v>
      </c>
      <c r="I25" t="s">
        <v>70</v>
      </c>
      <c r="M25" t="s">
        <v>71</v>
      </c>
      <c r="N25">
        <f>+F3/3</f>
        <v>83.333333333333329</v>
      </c>
    </row>
    <row r="26" spans="1:18" x14ac:dyDescent="0.25">
      <c r="A26" t="s">
        <v>72</v>
      </c>
      <c r="B26">
        <f>+B24*B25</f>
        <v>9497.4745311161114</v>
      </c>
      <c r="C26" t="s">
        <v>73</v>
      </c>
      <c r="E26" t="s">
        <v>50</v>
      </c>
      <c r="F26">
        <f>+F19-F5/10</f>
        <v>-2.75</v>
      </c>
      <c r="I26" t="s">
        <v>74</v>
      </c>
      <c r="J26">
        <f>0.2*J18*$F$5/100</f>
        <v>-5.6550932949301753E-2</v>
      </c>
      <c r="K26" t="s">
        <v>33</v>
      </c>
      <c r="M26" t="s">
        <v>75</v>
      </c>
      <c r="N26">
        <f>+F3*2/3</f>
        <v>166.66666666666666</v>
      </c>
    </row>
    <row r="27" spans="1:18" x14ac:dyDescent="0.25">
      <c r="E27" t="s">
        <v>76</v>
      </c>
      <c r="F27">
        <f>+F20</f>
        <v>15.75576744214915</v>
      </c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15.75576744214915</v>
      </c>
      <c r="C28" t="s">
        <v>20</v>
      </c>
      <c r="E28" t="s">
        <v>78</v>
      </c>
      <c r="F28">
        <f>IF(F26&gt;0,F27*F26,0)</f>
        <v>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  <c r="E29" t="s">
        <v>81</v>
      </c>
      <c r="F29">
        <f>0.4*SQRT($N$3)*100*($F$5-$F$6)/1000</f>
        <v>15.811388300841898</v>
      </c>
      <c r="G29" t="s">
        <v>82</v>
      </c>
    </row>
    <row r="30" spans="1:18" x14ac:dyDescent="0.25">
      <c r="A30" t="s">
        <v>83</v>
      </c>
      <c r="B30">
        <f>+B29/B28</f>
        <v>0.95203233070530391</v>
      </c>
      <c r="I30" t="s">
        <v>84</v>
      </c>
      <c r="J30">
        <f>2*J20*(J21+J22+2*J20)</f>
        <v>1.65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0.60234147114170788</v>
      </c>
      <c r="M31" t="s">
        <v>45</v>
      </c>
    </row>
    <row r="32" spans="1:18" x14ac:dyDescent="0.25">
      <c r="A32" t="str">
        <f>+IF(1.5&lt;B30,"Pasa","No Pasa")</f>
        <v>No Pasa</v>
      </c>
      <c r="E32" t="s">
        <v>88</v>
      </c>
      <c r="I32" t="s">
        <v>89</v>
      </c>
      <c r="J32">
        <f>+J31*J19</f>
        <v>12.046829422834158</v>
      </c>
      <c r="M32" t="s">
        <v>48</v>
      </c>
      <c r="N32">
        <f>+$R$3*($F$4/2)</f>
        <v>86.4</v>
      </c>
    </row>
    <row r="33" spans="5:14" x14ac:dyDescent="0.25">
      <c r="E33" t="s">
        <v>46</v>
      </c>
      <c r="I33" t="s">
        <v>90</v>
      </c>
      <c r="J33">
        <f>+(J21+J20)/2</f>
        <v>1.1499999999999999</v>
      </c>
      <c r="M33" t="s">
        <v>48</v>
      </c>
      <c r="N33">
        <f>+$R$4*$F$4/2</f>
        <v>359.99999999999994</v>
      </c>
    </row>
    <row r="34" spans="5:14" x14ac:dyDescent="0.25">
      <c r="E34" t="s">
        <v>50</v>
      </c>
      <c r="F34">
        <f>+(F4-B4)/2/100</f>
        <v>0.92500000000000004</v>
      </c>
      <c r="G34" t="s">
        <v>51</v>
      </c>
      <c r="I34" t="s">
        <v>91</v>
      </c>
      <c r="J34">
        <f>+(J22+J20)/2</f>
        <v>0.22499999999999998</v>
      </c>
      <c r="M34" t="s">
        <v>55</v>
      </c>
      <c r="N34">
        <f>+$R$5*$F$4/2</f>
        <v>676.80000000000007</v>
      </c>
    </row>
    <row r="35" spans="5:14" x14ac:dyDescent="0.25">
      <c r="E35" t="s">
        <v>53</v>
      </c>
      <c r="F35">
        <f>+B28</f>
        <v>15.75576744214915</v>
      </c>
      <c r="G35" t="s">
        <v>20</v>
      </c>
      <c r="I35" t="s">
        <v>92</v>
      </c>
      <c r="J35">
        <f>+J20*(J21+J20)^3/6+(J21+J20)*J20^3/6+J20*(J22+J20)*(J21+J20)^2/2</f>
        <v>0.97577499999999973</v>
      </c>
      <c r="M35" t="s">
        <v>34</v>
      </c>
      <c r="N35">
        <f>+$B$10</f>
        <v>11.964</v>
      </c>
    </row>
    <row r="36" spans="5:14" x14ac:dyDescent="0.25">
      <c r="E36" t="s">
        <v>57</v>
      </c>
      <c r="F36">
        <f>+F35*F34^2/2</f>
        <v>6.740514258844434</v>
      </c>
      <c r="G36" t="s">
        <v>35</v>
      </c>
      <c r="I36" t="s">
        <v>93</v>
      </c>
      <c r="J36">
        <f>+J32*J33/J35</f>
        <v>14.197795430564714</v>
      </c>
      <c r="M36" t="s">
        <v>62</v>
      </c>
      <c r="N36">
        <f>+N32+N33+N34+N35</f>
        <v>1135.164</v>
      </c>
    </row>
    <row r="37" spans="5:14" x14ac:dyDescent="0.25">
      <c r="E37" t="s">
        <v>60</v>
      </c>
      <c r="F37">
        <f>+IF(H38&lt;U4,U4,H38)</f>
        <v>2.9614665311512279E-3</v>
      </c>
      <c r="H37">
        <f>0.9*100*($F$5-$F$6)^2*$N$5</f>
        <v>9562500</v>
      </c>
      <c r="I37" t="s">
        <v>94</v>
      </c>
      <c r="J37">
        <f>+J32*J34/J35</f>
        <v>2.7778295407626614</v>
      </c>
      <c r="M37" t="s">
        <v>65</v>
      </c>
      <c r="N37">
        <f>+R6</f>
        <v>11.231999999999999</v>
      </c>
    </row>
    <row r="38" spans="5:14" x14ac:dyDescent="0.25">
      <c r="E38" t="s">
        <v>63</v>
      </c>
      <c r="F38">
        <f>+F37*100*$F$5</f>
        <v>8.8843995934536828</v>
      </c>
      <c r="G38" t="s">
        <v>64</v>
      </c>
      <c r="H38">
        <f>(1-(SQRT(H37*(H37-2*F36*100000)))/H37)*N5/U3</f>
        <v>2.9614665311512279E-3</v>
      </c>
      <c r="I38" t="s">
        <v>47</v>
      </c>
      <c r="J38">
        <f>+J18</f>
        <v>-0.94251554915502922</v>
      </c>
      <c r="K38" t="s">
        <v>82</v>
      </c>
      <c r="M38" t="s">
        <v>67</v>
      </c>
      <c r="N38">
        <f>+N36/N37</f>
        <v>101.06517094017094</v>
      </c>
    </row>
    <row r="39" spans="5:14" x14ac:dyDescent="0.25">
      <c r="I39" t="s">
        <v>95</v>
      </c>
      <c r="J39">
        <f>+J38+J36*J28</f>
        <v>13.255279881409685</v>
      </c>
      <c r="K39" t="s">
        <v>82</v>
      </c>
      <c r="M39" t="s">
        <v>71</v>
      </c>
      <c r="N39">
        <f>+F4/3</f>
        <v>66.666666666666671</v>
      </c>
    </row>
    <row r="40" spans="5:14" x14ac:dyDescent="0.25">
      <c r="E40" t="s">
        <v>69</v>
      </c>
      <c r="I40" t="s">
        <v>96</v>
      </c>
      <c r="J40">
        <f>+J38-J28*J37</f>
        <v>-3.7203450899176906</v>
      </c>
      <c r="K40" t="s">
        <v>82</v>
      </c>
      <c r="M40" t="s">
        <v>75</v>
      </c>
      <c r="N40">
        <f>+F4*2/3</f>
        <v>133.33333333333334</v>
      </c>
    </row>
    <row r="41" spans="5:14" x14ac:dyDescent="0.25">
      <c r="E41" t="s">
        <v>50</v>
      </c>
      <c r="F41">
        <f>+F34-F5/10</f>
        <v>-2.0750000000000002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76</v>
      </c>
      <c r="F42">
        <f>+F35</f>
        <v>15.75576744214915</v>
      </c>
      <c r="I42" t="str">
        <f>+IF(J41&lt;J39,"No Pasa","Pasa")</f>
        <v>Pasa</v>
      </c>
    </row>
    <row r="43" spans="5:14" x14ac:dyDescent="0.25">
      <c r="E43" t="s">
        <v>78</v>
      </c>
      <c r="F43">
        <f>IF(F41&gt;0,F42*F41,0)</f>
        <v>0</v>
      </c>
    </row>
    <row r="44" spans="5:14" x14ac:dyDescent="0.25">
      <c r="E44" t="s">
        <v>81</v>
      </c>
      <c r="F44">
        <f>0.4*SQRT($N$3)*100*($F$5-$F$6)/1000</f>
        <v>15.811388300841898</v>
      </c>
    </row>
    <row r="47" spans="5:14" x14ac:dyDescent="0.25">
      <c r="I47" t="s">
        <v>41</v>
      </c>
    </row>
    <row r="48" spans="5:14" x14ac:dyDescent="0.25">
      <c r="I48" t="s">
        <v>97</v>
      </c>
    </row>
    <row r="49" spans="9:11" x14ac:dyDescent="0.25">
      <c r="I49" t="s">
        <v>47</v>
      </c>
      <c r="J49">
        <f>+$J$18</f>
        <v>-0.94251554915502922</v>
      </c>
      <c r="K49" t="s">
        <v>33</v>
      </c>
    </row>
    <row r="50" spans="9:11" x14ac:dyDescent="0.25">
      <c r="I50" t="s">
        <v>52</v>
      </c>
      <c r="J50">
        <f>+$B$10</f>
        <v>11.964</v>
      </c>
      <c r="K50" t="s">
        <v>35</v>
      </c>
    </row>
    <row r="51" spans="9:11" x14ac:dyDescent="0.25">
      <c r="I51" t="s">
        <v>54</v>
      </c>
      <c r="J51">
        <f>+$F$5/100</f>
        <v>0.3</v>
      </c>
      <c r="K51" t="s">
        <v>51</v>
      </c>
    </row>
    <row r="52" spans="9:11" x14ac:dyDescent="0.25">
      <c r="I52" t="s">
        <v>58</v>
      </c>
      <c r="J52">
        <f>+$B$4/100</f>
        <v>0.15</v>
      </c>
      <c r="K52" t="s">
        <v>51</v>
      </c>
    </row>
    <row r="53" spans="9:11" x14ac:dyDescent="0.25">
      <c r="I53" t="s">
        <v>61</v>
      </c>
      <c r="J53">
        <f>+$B$3/100</f>
        <v>2</v>
      </c>
      <c r="K53" t="s">
        <v>51</v>
      </c>
    </row>
    <row r="56" spans="9:11" x14ac:dyDescent="0.25">
      <c r="I56" t="s">
        <v>70</v>
      </c>
    </row>
    <row r="57" spans="9:11" x14ac:dyDescent="0.25">
      <c r="I57" t="s">
        <v>74</v>
      </c>
      <c r="J57">
        <f>0.2*J49*$F$5/100</f>
        <v>-5.6550932949301753E-2</v>
      </c>
      <c r="K57" t="s">
        <v>33</v>
      </c>
    </row>
    <row r="58" spans="9:11" x14ac:dyDescent="0.25">
      <c r="I58" t="str">
        <f>+IF(J57&lt;J50,"Si hay tranmición de momento","No hay transmición de momentos")</f>
        <v>Si hay tranmición de momento</v>
      </c>
    </row>
    <row r="59" spans="9:11" x14ac:dyDescent="0.25">
      <c r="I59" t="s">
        <v>79</v>
      </c>
      <c r="J59">
        <f>+IF(J57&lt;J50,1,0)</f>
        <v>1</v>
      </c>
    </row>
    <row r="61" spans="9:11" x14ac:dyDescent="0.25">
      <c r="I61" t="s">
        <v>84</v>
      </c>
      <c r="J61">
        <f>2*J51*(J52+J53+2*J51)</f>
        <v>1.65</v>
      </c>
      <c r="K61" t="s">
        <v>85</v>
      </c>
    </row>
    <row r="62" spans="9:11" x14ac:dyDescent="0.25">
      <c r="I62" t="s">
        <v>87</v>
      </c>
      <c r="J62">
        <f>1-1/(1+0.67*SQRT((J52+J51)/(J53+J51)))</f>
        <v>0.22860834430210242</v>
      </c>
    </row>
    <row r="63" spans="9:11" x14ac:dyDescent="0.25">
      <c r="I63" t="s">
        <v>89</v>
      </c>
      <c r="J63">
        <f>+J62*J50</f>
        <v>2.7350702312303534</v>
      </c>
    </row>
    <row r="64" spans="9:11" x14ac:dyDescent="0.25">
      <c r="I64" t="s">
        <v>90</v>
      </c>
      <c r="J64">
        <f>+(J52+J51)/2</f>
        <v>0.22499999999999998</v>
      </c>
    </row>
    <row r="65" spans="9:10" x14ac:dyDescent="0.25">
      <c r="I65" t="s">
        <v>91</v>
      </c>
      <c r="J65">
        <f>+(J53+J51)/2</f>
        <v>1.1499999999999999</v>
      </c>
    </row>
    <row r="66" spans="9:10" x14ac:dyDescent="0.25">
      <c r="I66" t="s">
        <v>92</v>
      </c>
      <c r="J66">
        <f>+J51*(J52+J51)^3/6+(J52+J51)*J51^3/6+J51*(J53+J51)*(J52+J51)^2/2</f>
        <v>7.6443749999999977E-2</v>
      </c>
    </row>
    <row r="67" spans="9:10" x14ac:dyDescent="0.25">
      <c r="I67" t="s">
        <v>93</v>
      </c>
      <c r="J67">
        <f>+J63*J64/J66</f>
        <v>8.0502435061967752</v>
      </c>
    </row>
    <row r="68" spans="9:10" x14ac:dyDescent="0.25">
      <c r="I68" t="s">
        <v>94</v>
      </c>
      <c r="J68">
        <f>+J63*J65/J66</f>
        <v>41.145689031672397</v>
      </c>
    </row>
    <row r="69" spans="9:10" x14ac:dyDescent="0.25">
      <c r="I69" t="s">
        <v>47</v>
      </c>
      <c r="J69">
        <f>+J49</f>
        <v>-0.94251554915502922</v>
      </c>
    </row>
    <row r="70" spans="9:10" x14ac:dyDescent="0.25">
      <c r="I70" t="s">
        <v>95</v>
      </c>
      <c r="J70">
        <f>+J69+J67*J59</f>
        <v>7.107727957041746</v>
      </c>
    </row>
    <row r="71" spans="9:10" x14ac:dyDescent="0.25">
      <c r="I71" t="s">
        <v>96</v>
      </c>
      <c r="J71">
        <f>+J69-J59*J68</f>
        <v>-42.088204580827423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B9" sqref="B9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D3" t="s">
        <v>100</v>
      </c>
      <c r="E3" t="s">
        <v>9</v>
      </c>
      <c r="F3">
        <v>210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0.432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15</v>
      </c>
      <c r="C4" t="s">
        <v>8</v>
      </c>
      <c r="E4" t="s">
        <v>18</v>
      </c>
      <c r="F4">
        <v>150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2.2679999999999998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4.32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7.02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6.93+2.1*F4/100</f>
        <v>10.08</v>
      </c>
      <c r="C8" t="s">
        <v>33</v>
      </c>
    </row>
    <row r="9" spans="1:22" x14ac:dyDescent="0.25">
      <c r="A9" t="s">
        <v>34</v>
      </c>
      <c r="B9">
        <f>1.87+(R3+B8)*F3/2/100</f>
        <v>12.907599999999999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17.100000000000001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12.907599999999999</v>
      </c>
      <c r="C18" t="s">
        <v>35</v>
      </c>
      <c r="E18" t="s">
        <v>46</v>
      </c>
      <c r="I18" t="s">
        <v>47</v>
      </c>
      <c r="J18">
        <f>+B8-B8/(B26/10000)*(J21+J20)*(J22+J20)</f>
        <v>3.4207774299639482</v>
      </c>
      <c r="K18" t="s">
        <v>33</v>
      </c>
      <c r="M18" t="s">
        <v>48</v>
      </c>
      <c r="N18">
        <f>+$R$3*($F$3/2)</f>
        <v>45.36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0.55000000000000004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238.14</v>
      </c>
    </row>
    <row r="20" spans="1:18" x14ac:dyDescent="0.25">
      <c r="E20" t="s">
        <v>53</v>
      </c>
      <c r="F20">
        <f>+B28</f>
        <v>14.432381027855914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453.6</v>
      </c>
      <c r="R20">
        <f>1.4*90</f>
        <v>125.99999999999999</v>
      </c>
    </row>
    <row r="21" spans="1:18" x14ac:dyDescent="0.25">
      <c r="A21" t="s">
        <v>56</v>
      </c>
      <c r="B21">
        <f>+B18/B17</f>
        <v>0.75483040935672496</v>
      </c>
      <c r="C21" t="s">
        <v>51</v>
      </c>
      <c r="E21" t="s">
        <v>57</v>
      </c>
      <c r="F21">
        <f>+F20*F19^2/2</f>
        <v>2.1828976304632075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12.907599999999999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0.15</v>
      </c>
      <c r="K22" t="s">
        <v>51</v>
      </c>
      <c r="M22" t="s">
        <v>62</v>
      </c>
      <c r="N22">
        <f>+N18+N19+N20+N21</f>
        <v>750.00760000000002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9.347718125125499E-4</v>
      </c>
      <c r="M23" t="s">
        <v>65</v>
      </c>
      <c r="N23">
        <f>+R6</f>
        <v>7.02</v>
      </c>
    </row>
    <row r="24" spans="1:18" x14ac:dyDescent="0.25">
      <c r="A24" t="s">
        <v>66</v>
      </c>
      <c r="B24">
        <f>+F3-2*B21*100</f>
        <v>59.033918128655017</v>
      </c>
      <c r="C24" t="s">
        <v>8</v>
      </c>
      <c r="M24" t="s">
        <v>67</v>
      </c>
      <c r="N24">
        <f>+N22/N23</f>
        <v>106.83868945868947</v>
      </c>
    </row>
    <row r="25" spans="1:18" x14ac:dyDescent="0.25">
      <c r="A25" t="s">
        <v>68</v>
      </c>
      <c r="B25">
        <f>+F4-2*B22*100</f>
        <v>150</v>
      </c>
      <c r="C25" t="s">
        <v>8</v>
      </c>
      <c r="E25" t="s">
        <v>98</v>
      </c>
      <c r="F25">
        <f>100/(INT(F23/1.27)+1)</f>
        <v>14.285714285714286</v>
      </c>
      <c r="I25" t="s">
        <v>70</v>
      </c>
      <c r="M25" t="s">
        <v>71</v>
      </c>
      <c r="N25">
        <f>+F3/3</f>
        <v>70</v>
      </c>
    </row>
    <row r="26" spans="1:18" x14ac:dyDescent="0.25">
      <c r="A26" t="s">
        <v>72</v>
      </c>
      <c r="B26">
        <f>+B24*B25</f>
        <v>8855.0877192982534</v>
      </c>
      <c r="C26" t="s">
        <v>73</v>
      </c>
      <c r="I26" t="s">
        <v>74</v>
      </c>
      <c r="J26">
        <f>0.2*J18*$F$5/100</f>
        <v>0.20524664579783689</v>
      </c>
      <c r="K26" t="s">
        <v>33</v>
      </c>
      <c r="M26" t="s">
        <v>75</v>
      </c>
      <c r="N26">
        <f>+F3*2/3</f>
        <v>140</v>
      </c>
    </row>
    <row r="27" spans="1:18" x14ac:dyDescent="0.25"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14.432381027855914</v>
      </c>
      <c r="C28" t="s">
        <v>20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</row>
    <row r="30" spans="1:18" x14ac:dyDescent="0.25">
      <c r="A30" t="s">
        <v>83</v>
      </c>
      <c r="B30">
        <f>+B29/B28</f>
        <v>1.0393295445185742</v>
      </c>
      <c r="I30" t="s">
        <v>84</v>
      </c>
      <c r="J30">
        <f>2*J20*(J21+J22+2*J20)</f>
        <v>1.05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0.53244395361177754</v>
      </c>
      <c r="M31" t="s">
        <v>45</v>
      </c>
    </row>
    <row r="32" spans="1:18" x14ac:dyDescent="0.25">
      <c r="A32" t="str">
        <f>+IF(1.5&lt;B30,"Pasa","No Pasa")</f>
        <v>No Pasa</v>
      </c>
      <c r="I32" t="s">
        <v>89</v>
      </c>
      <c r="J32">
        <f>+J31*J19</f>
        <v>10.648879072235552</v>
      </c>
      <c r="M32" t="s">
        <v>48</v>
      </c>
      <c r="N32">
        <f>+$R$3*($F$4/2)</f>
        <v>32.4</v>
      </c>
    </row>
    <row r="33" spans="5:14" x14ac:dyDescent="0.25">
      <c r="E33" t="s">
        <v>69</v>
      </c>
      <c r="I33" t="s">
        <v>90</v>
      </c>
      <c r="J33">
        <f>+(J21+J20)/2</f>
        <v>0.65</v>
      </c>
      <c r="M33" t="s">
        <v>48</v>
      </c>
      <c r="N33">
        <f>+$R$4*$F$4/2</f>
        <v>170.1</v>
      </c>
    </row>
    <row r="34" spans="5:14" x14ac:dyDescent="0.25">
      <c r="E34" t="s">
        <v>50</v>
      </c>
      <c r="F34">
        <f>+F19-F5/10</f>
        <v>-2.4500000000000002</v>
      </c>
      <c r="I34" t="s">
        <v>91</v>
      </c>
      <c r="J34">
        <f>+(J22+J20)/2</f>
        <v>0.22499999999999998</v>
      </c>
      <c r="M34" t="s">
        <v>55</v>
      </c>
      <c r="N34">
        <f>+$R$5*$F$4/2</f>
        <v>324</v>
      </c>
    </row>
    <row r="35" spans="5:14" x14ac:dyDescent="0.25">
      <c r="E35" t="s">
        <v>76</v>
      </c>
      <c r="F35">
        <f>+F20</f>
        <v>14.432381027855914</v>
      </c>
      <c r="I35" t="s">
        <v>92</v>
      </c>
      <c r="J35">
        <f>+J20*(J21+J20)^3/6+(J21+J20)*J20^3/6+J20*(J22+J20)*(J21+J20)^2/2</f>
        <v>0.22977500000000001</v>
      </c>
      <c r="M35" t="s">
        <v>34</v>
      </c>
      <c r="N35">
        <f>+$B$10</f>
        <v>0</v>
      </c>
    </row>
    <row r="36" spans="5:14" x14ac:dyDescent="0.25">
      <c r="E36" t="s">
        <v>78</v>
      </c>
      <c r="F36">
        <f>IF(F34&gt;0,F35*F34,0)</f>
        <v>0</v>
      </c>
      <c r="I36" t="s">
        <v>93</v>
      </c>
      <c r="J36">
        <f>+J32*J33/J35</f>
        <v>30.124127502787985</v>
      </c>
      <c r="M36" t="s">
        <v>62</v>
      </c>
      <c r="N36">
        <f>+N32+N33+N34+N35</f>
        <v>526.5</v>
      </c>
    </row>
    <row r="37" spans="5:14" x14ac:dyDescent="0.25">
      <c r="E37" t="s">
        <v>81</v>
      </c>
      <c r="F37">
        <f>0.4*SQRT($N$3)*100*($F$5-$F$6)/1000</f>
        <v>15.811388300841898</v>
      </c>
      <c r="G37" t="s">
        <v>82</v>
      </c>
      <c r="H37">
        <f>0.9*100*($F$5-$F$6)^2*$N$5</f>
        <v>9562500</v>
      </c>
      <c r="I37" t="s">
        <v>94</v>
      </c>
      <c r="J37">
        <f>+J32*J34/J35</f>
        <v>10.427582597118917</v>
      </c>
      <c r="M37" t="s">
        <v>65</v>
      </c>
      <c r="N37">
        <f>+R6</f>
        <v>7.02</v>
      </c>
    </row>
    <row r="38" spans="5:14" x14ac:dyDescent="0.25">
      <c r="H38">
        <f>(1-(SQRT(H37*(H37-2*F44*100000)))/H37)*N5/U3</f>
        <v>1.4164789830025163E-3</v>
      </c>
      <c r="I38" t="s">
        <v>47</v>
      </c>
      <c r="J38">
        <f>+J18</f>
        <v>3.4207774299639482</v>
      </c>
      <c r="K38" t="s">
        <v>82</v>
      </c>
      <c r="M38" t="s">
        <v>67</v>
      </c>
      <c r="N38">
        <f>+N36/N37</f>
        <v>75</v>
      </c>
    </row>
    <row r="39" spans="5:14" x14ac:dyDescent="0.25">
      <c r="I39" t="s">
        <v>95</v>
      </c>
      <c r="J39">
        <f>+J38+J36*J28</f>
        <v>33.544904932751933</v>
      </c>
      <c r="K39" t="s">
        <v>82</v>
      </c>
      <c r="M39" t="s">
        <v>71</v>
      </c>
      <c r="N39">
        <f>+F4/3</f>
        <v>50</v>
      </c>
    </row>
    <row r="40" spans="5:14" x14ac:dyDescent="0.25">
      <c r="E40" t="s">
        <v>88</v>
      </c>
      <c r="I40" t="s">
        <v>96</v>
      </c>
      <c r="J40">
        <f>+J38-J28*J37</f>
        <v>-7.0068051671549689</v>
      </c>
      <c r="K40" t="s">
        <v>82</v>
      </c>
      <c r="M40" t="s">
        <v>75</v>
      </c>
      <c r="N40">
        <f>+F4*2/3</f>
        <v>100</v>
      </c>
    </row>
    <row r="41" spans="5:14" x14ac:dyDescent="0.25">
      <c r="E41" t="s">
        <v>46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50</v>
      </c>
      <c r="F42">
        <f>+(F4-B4)/2/100</f>
        <v>0.67500000000000004</v>
      </c>
      <c r="G42" t="s">
        <v>51</v>
      </c>
      <c r="I42" t="str">
        <f>+IF(J41&lt;J39,"No Pasa","Pasa")</f>
        <v>Pasa</v>
      </c>
    </row>
    <row r="43" spans="5:14" x14ac:dyDescent="0.25">
      <c r="E43" t="s">
        <v>53</v>
      </c>
      <c r="F43">
        <f>+B28</f>
        <v>14.432381027855914</v>
      </c>
      <c r="G43" t="s">
        <v>20</v>
      </c>
    </row>
    <row r="44" spans="5:14" x14ac:dyDescent="0.25">
      <c r="E44" t="s">
        <v>57</v>
      </c>
      <c r="F44">
        <f>+F43*F42^2/2</f>
        <v>3.2878768029084258</v>
      </c>
      <c r="G44" t="s">
        <v>35</v>
      </c>
    </row>
    <row r="45" spans="5:14" x14ac:dyDescent="0.25">
      <c r="E45" t="s">
        <v>60</v>
      </c>
      <c r="F45">
        <f>+IF(H38&lt;U4,U4,H38)</f>
        <v>2.6352313834736491E-3</v>
      </c>
    </row>
    <row r="46" spans="5:14" x14ac:dyDescent="0.25">
      <c r="E46" t="s">
        <v>63</v>
      </c>
      <c r="F46">
        <f>+F45*100*$F$5</f>
        <v>7.9056941504209473</v>
      </c>
      <c r="G46" t="s">
        <v>64</v>
      </c>
    </row>
    <row r="47" spans="5:14" x14ac:dyDescent="0.25">
      <c r="I47" t="s">
        <v>41</v>
      </c>
    </row>
    <row r="48" spans="5:14" x14ac:dyDescent="0.25">
      <c r="E48" t="s">
        <v>69</v>
      </c>
      <c r="I48" t="s">
        <v>97</v>
      </c>
    </row>
    <row r="49" spans="5:11" x14ac:dyDescent="0.25">
      <c r="E49" t="s">
        <v>50</v>
      </c>
      <c r="F49">
        <f>+F42-F5/10</f>
        <v>-2.3250000000000002</v>
      </c>
      <c r="I49" t="s">
        <v>47</v>
      </c>
      <c r="J49">
        <f>+$J$18</f>
        <v>3.4207774299639482</v>
      </c>
      <c r="K49" t="s">
        <v>33</v>
      </c>
    </row>
    <row r="50" spans="5:11" x14ac:dyDescent="0.25">
      <c r="E50" t="s">
        <v>76</v>
      </c>
      <c r="F50">
        <f>+F43</f>
        <v>14.432381027855914</v>
      </c>
      <c r="I50" t="s">
        <v>52</v>
      </c>
      <c r="J50">
        <f>+$B$10</f>
        <v>0</v>
      </c>
      <c r="K50" t="s">
        <v>35</v>
      </c>
    </row>
    <row r="51" spans="5:11" x14ac:dyDescent="0.25">
      <c r="E51" t="s">
        <v>78</v>
      </c>
      <c r="F51">
        <f>IF(F49&gt;0,F50*F49,0)</f>
        <v>0</v>
      </c>
      <c r="I51" t="s">
        <v>54</v>
      </c>
      <c r="J51">
        <f>+$F$5/100</f>
        <v>0.3</v>
      </c>
      <c r="K51" t="s">
        <v>51</v>
      </c>
    </row>
    <row r="52" spans="5:11" x14ac:dyDescent="0.25">
      <c r="E52" t="s">
        <v>81</v>
      </c>
      <c r="F52">
        <f>0.4*SQRT($N$3)*100*($F$5-$F$6)/1000</f>
        <v>15.811388300841898</v>
      </c>
      <c r="I52" t="s">
        <v>58</v>
      </c>
      <c r="J52">
        <f>+$B$4/100</f>
        <v>0.15</v>
      </c>
      <c r="K52" t="s">
        <v>51</v>
      </c>
    </row>
    <row r="53" spans="5:11" x14ac:dyDescent="0.25">
      <c r="I53" t="s">
        <v>61</v>
      </c>
      <c r="J53">
        <f>+$B$3/100</f>
        <v>1</v>
      </c>
      <c r="K53" t="s">
        <v>51</v>
      </c>
    </row>
    <row r="56" spans="5:11" x14ac:dyDescent="0.25">
      <c r="I56" t="s">
        <v>70</v>
      </c>
    </row>
    <row r="57" spans="5:11" x14ac:dyDescent="0.25">
      <c r="I57" t="s">
        <v>74</v>
      </c>
      <c r="J57">
        <f>0.2*J49*$F$5/100</f>
        <v>0.20524664579783689</v>
      </c>
      <c r="K57" t="s">
        <v>33</v>
      </c>
    </row>
    <row r="58" spans="5:11" x14ac:dyDescent="0.25">
      <c r="I58" t="str">
        <f>+IF(J57&lt;J50,"Si hay tranmición de momento","No hay transmición de momentos")</f>
        <v>No hay transmición de momentos</v>
      </c>
    </row>
    <row r="59" spans="5:11" x14ac:dyDescent="0.25">
      <c r="I59" t="s">
        <v>79</v>
      </c>
      <c r="J59">
        <f>+IF(J57&lt;J50,1,0)</f>
        <v>0</v>
      </c>
    </row>
    <row r="61" spans="5:11" x14ac:dyDescent="0.25">
      <c r="I61" t="s">
        <v>84</v>
      </c>
      <c r="J61">
        <f>2*J51*(J52+J53+2*J51)</f>
        <v>1.05</v>
      </c>
      <c r="K61" t="s">
        <v>85</v>
      </c>
    </row>
    <row r="62" spans="5:11" x14ac:dyDescent="0.25">
      <c r="I62" t="s">
        <v>87</v>
      </c>
      <c r="J62">
        <f>1-1/(1+0.67*SQRT((J52+J51)/(J53+J51)))</f>
        <v>0.28273941239812106</v>
      </c>
    </row>
    <row r="63" spans="5:11" x14ac:dyDescent="0.25">
      <c r="I63" t="s">
        <v>89</v>
      </c>
      <c r="J63">
        <f>+J62*J50</f>
        <v>0</v>
      </c>
    </row>
    <row r="64" spans="5:11" x14ac:dyDescent="0.25">
      <c r="I64" t="s">
        <v>90</v>
      </c>
      <c r="J64">
        <f>+(J52+J51)/2</f>
        <v>0.22499999999999998</v>
      </c>
    </row>
    <row r="65" spans="9:10" x14ac:dyDescent="0.25">
      <c r="I65" t="s">
        <v>91</v>
      </c>
      <c r="J65">
        <f>+(J53+J51)/2</f>
        <v>0.65</v>
      </c>
    </row>
    <row r="66" spans="9:10" x14ac:dyDescent="0.25">
      <c r="I66" t="s">
        <v>92</v>
      </c>
      <c r="J66">
        <f>+J51*(J52+J51)^3/6+(J52+J51)*J51^3/6+J51*(J53+J51)*(J52+J51)^2/2</f>
        <v>4.6068749999999992E-2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3.4207774299639482</v>
      </c>
    </row>
    <row r="70" spans="9:10" x14ac:dyDescent="0.25">
      <c r="I70" t="s">
        <v>95</v>
      </c>
      <c r="J70">
        <f>+J69+J67*J59</f>
        <v>3.4207774299639482</v>
      </c>
    </row>
    <row r="71" spans="9:10" x14ac:dyDescent="0.25">
      <c r="I71" t="s">
        <v>96</v>
      </c>
      <c r="J71">
        <f>+J69-J59*J68</f>
        <v>3.4207774299639482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E16" sqref="E16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E3" t="s">
        <v>9</v>
      </c>
      <c r="F3">
        <v>120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0.432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15</v>
      </c>
      <c r="C4" t="s">
        <v>8</v>
      </c>
      <c r="E4" t="s">
        <v>18</v>
      </c>
      <c r="F4">
        <v>120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1.0367999999999997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1.8576000000000001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3.3263999999999996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1.92+2.1*F4/100</f>
        <v>4.4399999999999995</v>
      </c>
      <c r="C8" t="s">
        <v>33</v>
      </c>
    </row>
    <row r="9" spans="1:22" x14ac:dyDescent="0.25">
      <c r="A9" t="s">
        <v>34</v>
      </c>
      <c r="B9">
        <f>0.4+(R3+B8)*F3/2/100</f>
        <v>3.3231999999999999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7.7663999999999991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3.3231999999999999</v>
      </c>
      <c r="C18" t="s">
        <v>35</v>
      </c>
      <c r="E18" t="s">
        <v>46</v>
      </c>
      <c r="I18" t="s">
        <v>47</v>
      </c>
      <c r="J18">
        <f>+B8-B8/(B26/10000)*(J21+J20)*(J22+J20)</f>
        <v>-1.8482948288245167</v>
      </c>
      <c r="K18" t="s">
        <v>33</v>
      </c>
      <c r="M18" t="s">
        <v>48</v>
      </c>
      <c r="N18">
        <f>+$R$3*($F$3/2)</f>
        <v>25.919999999999998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0.1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62.207999999999984</v>
      </c>
    </row>
    <row r="20" spans="1:18" x14ac:dyDescent="0.25">
      <c r="E20" t="s">
        <v>53</v>
      </c>
      <c r="F20">
        <f>+B28</f>
        <v>14.305180751735698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111.456</v>
      </c>
      <c r="R20">
        <f>1.4*90</f>
        <v>125.99999999999999</v>
      </c>
    </row>
    <row r="21" spans="1:18" x14ac:dyDescent="0.25">
      <c r="A21" t="s">
        <v>56</v>
      </c>
      <c r="B21">
        <f>+B18/B17</f>
        <v>0.4278945199835188</v>
      </c>
      <c r="C21" t="s">
        <v>51</v>
      </c>
      <c r="E21" t="s">
        <v>57</v>
      </c>
      <c r="F21">
        <f>+F20*F19^2/2</f>
        <v>7.1525903758678497E-2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3.3231999999999999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0.15</v>
      </c>
      <c r="K22" t="s">
        <v>51</v>
      </c>
      <c r="M22" t="s">
        <v>62</v>
      </c>
      <c r="N22">
        <f>+N18+N19+N20+N21</f>
        <v>202.90719999999999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3.0286846085522811E-5</v>
      </c>
      <c r="M23" t="s">
        <v>65</v>
      </c>
      <c r="N23">
        <f>+R6</f>
        <v>3.3263999999999996</v>
      </c>
    </row>
    <row r="24" spans="1:18" x14ac:dyDescent="0.25">
      <c r="A24" t="s">
        <v>66</v>
      </c>
      <c r="B24">
        <f>+F3-2*B21*100</f>
        <v>34.421096003296242</v>
      </c>
      <c r="C24" t="s">
        <v>8</v>
      </c>
      <c r="M24" t="s">
        <v>67</v>
      </c>
      <c r="N24">
        <f>+N22/N23</f>
        <v>60.999037999038002</v>
      </c>
    </row>
    <row r="25" spans="1:18" x14ac:dyDescent="0.25">
      <c r="A25" t="s">
        <v>68</v>
      </c>
      <c r="B25">
        <f>+F4-2*B22*100</f>
        <v>120</v>
      </c>
      <c r="C25" t="s">
        <v>8</v>
      </c>
      <c r="E25" t="s">
        <v>98</v>
      </c>
      <c r="F25">
        <f>100/(INT(F23/1.27)+1)</f>
        <v>14.285714285714286</v>
      </c>
      <c r="I25" t="s">
        <v>70</v>
      </c>
      <c r="M25" t="s">
        <v>71</v>
      </c>
      <c r="N25">
        <f>+F3/3</f>
        <v>40</v>
      </c>
    </row>
    <row r="26" spans="1:18" x14ac:dyDescent="0.25">
      <c r="A26" t="s">
        <v>72</v>
      </c>
      <c r="B26">
        <f>+B24*B25</f>
        <v>4130.5315203955488</v>
      </c>
      <c r="C26" t="s">
        <v>73</v>
      </c>
      <c r="I26" t="s">
        <v>74</v>
      </c>
      <c r="J26">
        <f>0.2*J18*$F$5/100</f>
        <v>-0.11089768972947102</v>
      </c>
      <c r="K26" t="s">
        <v>33</v>
      </c>
      <c r="M26" t="s">
        <v>75</v>
      </c>
      <c r="N26">
        <f>+F3*2/3</f>
        <v>80</v>
      </c>
    </row>
    <row r="27" spans="1:18" x14ac:dyDescent="0.25"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14.305180751735698</v>
      </c>
      <c r="C28" t="s">
        <v>20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</row>
    <row r="30" spans="1:18" x14ac:dyDescent="0.25">
      <c r="A30" t="s">
        <v>83</v>
      </c>
      <c r="B30">
        <f>+B29/B28</f>
        <v>1.048571161757603</v>
      </c>
      <c r="I30" t="s">
        <v>84</v>
      </c>
      <c r="J30">
        <f>2*J20*(J21+J22+2*J20)</f>
        <v>1.05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0.53244395361177754</v>
      </c>
      <c r="M31" t="s">
        <v>45</v>
      </c>
    </row>
    <row r="32" spans="1:18" x14ac:dyDescent="0.25">
      <c r="A32" t="str">
        <f>+IF(1.5&lt;B30,"Pasa","No Pasa")</f>
        <v>No Pasa</v>
      </c>
      <c r="I32" t="s">
        <v>89</v>
      </c>
      <c r="J32">
        <f>+J31*J19</f>
        <v>10.648879072235552</v>
      </c>
      <c r="M32" t="s">
        <v>48</v>
      </c>
      <c r="N32">
        <f>+$R$3*($F$4/2)</f>
        <v>25.919999999999998</v>
      </c>
    </row>
    <row r="33" spans="5:14" x14ac:dyDescent="0.25">
      <c r="E33" t="s">
        <v>69</v>
      </c>
      <c r="I33" t="s">
        <v>90</v>
      </c>
      <c r="J33">
        <f>+(J21+J20)/2</f>
        <v>0.65</v>
      </c>
      <c r="M33" t="s">
        <v>48</v>
      </c>
      <c r="N33">
        <f>+$R$4*$F$4/2</f>
        <v>62.207999999999984</v>
      </c>
    </row>
    <row r="34" spans="5:14" x14ac:dyDescent="0.25">
      <c r="E34" t="s">
        <v>50</v>
      </c>
      <c r="F34">
        <f>+F19-F5/10</f>
        <v>-2.9</v>
      </c>
      <c r="I34" t="s">
        <v>91</v>
      </c>
      <c r="J34">
        <f>+(J22+J20)/2</f>
        <v>0.22499999999999998</v>
      </c>
      <c r="M34" t="s">
        <v>55</v>
      </c>
      <c r="N34">
        <f>+$R$5*$F$4/2</f>
        <v>111.456</v>
      </c>
    </row>
    <row r="35" spans="5:14" x14ac:dyDescent="0.25">
      <c r="E35" t="s">
        <v>76</v>
      </c>
      <c r="F35">
        <f>+F20</f>
        <v>14.305180751735698</v>
      </c>
      <c r="I35" t="s">
        <v>92</v>
      </c>
      <c r="J35">
        <f>+J20*(J21+J20)^3/6+(J21+J20)*J20^3/6+J20*(J22+J20)*(J21+J20)^2/2</f>
        <v>0.22977500000000001</v>
      </c>
      <c r="M35" t="s">
        <v>34</v>
      </c>
      <c r="N35">
        <f>+$B$10</f>
        <v>0</v>
      </c>
    </row>
    <row r="36" spans="5:14" x14ac:dyDescent="0.25">
      <c r="E36" t="s">
        <v>78</v>
      </c>
      <c r="F36">
        <f>IF(F34&gt;0,F35*F34,0)</f>
        <v>0</v>
      </c>
      <c r="I36" t="s">
        <v>93</v>
      </c>
      <c r="J36">
        <f>+J32*J33/J35</f>
        <v>30.124127502787985</v>
      </c>
      <c r="M36" t="s">
        <v>62</v>
      </c>
      <c r="N36">
        <f>+N32+N33+N34+N35</f>
        <v>199.584</v>
      </c>
    </row>
    <row r="37" spans="5:14" x14ac:dyDescent="0.25">
      <c r="E37" t="s">
        <v>81</v>
      </c>
      <c r="F37">
        <f>0.4*SQRT($N$3)*100*($F$5-$F$6)/1000</f>
        <v>15.811388300841898</v>
      </c>
      <c r="G37" t="s">
        <v>82</v>
      </c>
      <c r="H37">
        <f>0.9*100*($F$5-$F$6)^2*$N$5</f>
        <v>9562500</v>
      </c>
      <c r="I37" t="s">
        <v>94</v>
      </c>
      <c r="J37">
        <f>+J32*J34/J35</f>
        <v>10.427582597118917</v>
      </c>
      <c r="M37" t="s">
        <v>65</v>
      </c>
      <c r="N37">
        <f>+R6</f>
        <v>3.3263999999999996</v>
      </c>
    </row>
    <row r="38" spans="5:14" x14ac:dyDescent="0.25">
      <c r="H38">
        <f>(1-(SQRT(H37*(H37-2*F44*100000)))/H37)*N5/U3</f>
        <v>8.4325274724966054E-4</v>
      </c>
      <c r="I38" t="s">
        <v>47</v>
      </c>
      <c r="J38">
        <f>+J18</f>
        <v>-1.8482948288245167</v>
      </c>
      <c r="K38" t="s">
        <v>82</v>
      </c>
      <c r="M38" t="s">
        <v>67</v>
      </c>
      <c r="N38">
        <f>+N36/N37</f>
        <v>60.000000000000007</v>
      </c>
    </row>
    <row r="39" spans="5:14" x14ac:dyDescent="0.25">
      <c r="I39" t="s">
        <v>95</v>
      </c>
      <c r="J39">
        <f>+J38+J36*J28</f>
        <v>28.275832673963468</v>
      </c>
      <c r="K39" t="s">
        <v>82</v>
      </c>
      <c r="M39" t="s">
        <v>71</v>
      </c>
      <c r="N39">
        <f>+F4/3</f>
        <v>40</v>
      </c>
    </row>
    <row r="40" spans="5:14" x14ac:dyDescent="0.25">
      <c r="E40" t="s">
        <v>88</v>
      </c>
      <c r="I40" t="s">
        <v>96</v>
      </c>
      <c r="J40">
        <f>+J38-J28*J37</f>
        <v>-12.275877425943435</v>
      </c>
      <c r="K40" t="s">
        <v>82</v>
      </c>
      <c r="M40" t="s">
        <v>75</v>
      </c>
      <c r="N40">
        <f>+F4*2/3</f>
        <v>80</v>
      </c>
    </row>
    <row r="41" spans="5:14" x14ac:dyDescent="0.25">
      <c r="E41" t="s">
        <v>46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50</v>
      </c>
      <c r="F42">
        <f>+(F4-B4)/2/100</f>
        <v>0.52500000000000002</v>
      </c>
      <c r="G42" t="s">
        <v>51</v>
      </c>
      <c r="I42" t="str">
        <f>+IF(J41&lt;J39,"No Pasa","Pasa")</f>
        <v>Pasa</v>
      </c>
    </row>
    <row r="43" spans="5:14" x14ac:dyDescent="0.25">
      <c r="E43" t="s">
        <v>53</v>
      </c>
      <c r="F43">
        <f>+B28</f>
        <v>14.305180751735698</v>
      </c>
      <c r="G43" t="s">
        <v>20</v>
      </c>
    </row>
    <row r="44" spans="5:14" x14ac:dyDescent="0.25">
      <c r="E44" t="s">
        <v>57</v>
      </c>
      <c r="F44">
        <f>+F43*F42^2/2</f>
        <v>1.9714327223485759</v>
      </c>
      <c r="G44" t="s">
        <v>35</v>
      </c>
    </row>
    <row r="45" spans="5:14" x14ac:dyDescent="0.25">
      <c r="E45" t="s">
        <v>60</v>
      </c>
      <c r="F45">
        <f>+IF(H38&lt;U4,U4,H38)</f>
        <v>2.6352313834736491E-3</v>
      </c>
    </row>
    <row r="46" spans="5:14" x14ac:dyDescent="0.25">
      <c r="E46" t="s">
        <v>63</v>
      </c>
      <c r="F46">
        <f>+F45*100*$F$5</f>
        <v>7.9056941504209473</v>
      </c>
      <c r="G46" t="s">
        <v>64</v>
      </c>
    </row>
    <row r="47" spans="5:14" x14ac:dyDescent="0.25">
      <c r="I47" t="s">
        <v>41</v>
      </c>
    </row>
    <row r="48" spans="5:14" x14ac:dyDescent="0.25">
      <c r="E48" t="s">
        <v>69</v>
      </c>
      <c r="I48" t="s">
        <v>97</v>
      </c>
    </row>
    <row r="49" spans="5:11" x14ac:dyDescent="0.25">
      <c r="E49" t="s">
        <v>50</v>
      </c>
      <c r="F49">
        <f>+F42-F5/10</f>
        <v>-2.4750000000000001</v>
      </c>
      <c r="I49" t="s">
        <v>47</v>
      </c>
      <c r="J49">
        <f>+$J$18</f>
        <v>-1.8482948288245167</v>
      </c>
      <c r="K49" t="s">
        <v>33</v>
      </c>
    </row>
    <row r="50" spans="5:11" x14ac:dyDescent="0.25">
      <c r="E50" t="s">
        <v>76</v>
      </c>
      <c r="F50">
        <f>+F43</f>
        <v>14.305180751735698</v>
      </c>
      <c r="I50" t="s">
        <v>52</v>
      </c>
      <c r="J50">
        <f>+$B$10</f>
        <v>0</v>
      </c>
      <c r="K50" t="s">
        <v>35</v>
      </c>
    </row>
    <row r="51" spans="5:11" x14ac:dyDescent="0.25">
      <c r="E51" t="s">
        <v>78</v>
      </c>
      <c r="F51">
        <f>IF(F49&gt;0,F50*F49,0)</f>
        <v>0</v>
      </c>
      <c r="I51" t="s">
        <v>54</v>
      </c>
      <c r="J51">
        <f>+$F$5/100</f>
        <v>0.3</v>
      </c>
      <c r="K51" t="s">
        <v>51</v>
      </c>
    </row>
    <row r="52" spans="5:11" x14ac:dyDescent="0.25">
      <c r="E52" t="s">
        <v>81</v>
      </c>
      <c r="F52">
        <f>0.4*SQRT($N$3)*100*($F$5-$F$6)/1000</f>
        <v>15.811388300841898</v>
      </c>
      <c r="I52" t="s">
        <v>58</v>
      </c>
      <c r="J52">
        <f>+$B$4/100</f>
        <v>0.15</v>
      </c>
      <c r="K52" t="s">
        <v>51</v>
      </c>
    </row>
    <row r="53" spans="5:11" x14ac:dyDescent="0.25">
      <c r="I53" t="s">
        <v>61</v>
      </c>
      <c r="J53">
        <f>+$B$3/100</f>
        <v>1</v>
      </c>
      <c r="K53" t="s">
        <v>51</v>
      </c>
    </row>
    <row r="56" spans="5:11" x14ac:dyDescent="0.25">
      <c r="I56" t="s">
        <v>70</v>
      </c>
    </row>
    <row r="57" spans="5:11" x14ac:dyDescent="0.25">
      <c r="I57" t="s">
        <v>74</v>
      </c>
      <c r="J57">
        <f>0.2*J49*$F$5/100</f>
        <v>-0.11089768972947102</v>
      </c>
      <c r="K57" t="s">
        <v>33</v>
      </c>
    </row>
    <row r="58" spans="5:11" x14ac:dyDescent="0.25">
      <c r="I58" t="str">
        <f>+IF(J57&lt;J50,"Si hay tranmición de momento","No hay transmición de momentos")</f>
        <v>Si hay tranmición de momento</v>
      </c>
    </row>
    <row r="59" spans="5:11" x14ac:dyDescent="0.25">
      <c r="I59" t="s">
        <v>79</v>
      </c>
      <c r="J59">
        <f>+IF(J57&lt;J50,1,0)</f>
        <v>1</v>
      </c>
    </row>
    <row r="61" spans="5:11" x14ac:dyDescent="0.25">
      <c r="I61" t="s">
        <v>84</v>
      </c>
      <c r="J61">
        <f>2*J51*(J52+J53+2*J51)</f>
        <v>1.05</v>
      </c>
      <c r="K61" t="s">
        <v>85</v>
      </c>
    </row>
    <row r="62" spans="5:11" x14ac:dyDescent="0.25">
      <c r="I62" t="s">
        <v>87</v>
      </c>
      <c r="J62">
        <f>1-1/(1+0.67*SQRT((J52+J51)/(J53+J51)))</f>
        <v>0.28273941239812106</v>
      </c>
    </row>
    <row r="63" spans="5:11" x14ac:dyDescent="0.25">
      <c r="I63" t="s">
        <v>89</v>
      </c>
      <c r="J63">
        <f>+J62*J50</f>
        <v>0</v>
      </c>
    </row>
    <row r="64" spans="5:11" x14ac:dyDescent="0.25">
      <c r="I64" t="s">
        <v>90</v>
      </c>
      <c r="J64">
        <f>+(J52+J51)/2</f>
        <v>0.22499999999999998</v>
      </c>
    </row>
    <row r="65" spans="9:10" x14ac:dyDescent="0.25">
      <c r="I65" t="s">
        <v>91</v>
      </c>
      <c r="J65">
        <f>+(J53+J51)/2</f>
        <v>0.65</v>
      </c>
    </row>
    <row r="66" spans="9:10" x14ac:dyDescent="0.25">
      <c r="I66" t="s">
        <v>92</v>
      </c>
      <c r="J66">
        <f>+J51*(J52+J51)^3/6+(J52+J51)*J51^3/6+J51*(J53+J51)*(J52+J51)^2/2</f>
        <v>4.6068749999999992E-2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-1.8482948288245167</v>
      </c>
    </row>
    <row r="70" spans="9:10" x14ac:dyDescent="0.25">
      <c r="I70" t="s">
        <v>95</v>
      </c>
      <c r="J70">
        <f>+J69+J67*J59</f>
        <v>-1.8482948288245167</v>
      </c>
    </row>
    <row r="71" spans="9:10" x14ac:dyDescent="0.25">
      <c r="I71" t="s">
        <v>96</v>
      </c>
      <c r="J71">
        <f>+J69-J59*J68</f>
        <v>-1.8482948288245167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E9" sqref="E9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E3" t="s">
        <v>9</v>
      </c>
      <c r="F3">
        <v>100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0.38400000000000001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20</v>
      </c>
      <c r="C4" t="s">
        <v>8</v>
      </c>
      <c r="E4" t="s">
        <v>18</v>
      </c>
      <c r="F4">
        <v>100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0.48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80</v>
      </c>
      <c r="C5" t="s">
        <v>8</v>
      </c>
      <c r="E5" t="s">
        <v>24</v>
      </c>
      <c r="F5">
        <v>20</v>
      </c>
      <c r="G5" t="s">
        <v>8</v>
      </c>
      <c r="I5" t="s">
        <v>25</v>
      </c>
      <c r="J5">
        <f>+B5-F5</f>
        <v>60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0.76800000000000002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1.6320000000000001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0+2.1*F4/100</f>
        <v>2.1</v>
      </c>
      <c r="C8" t="s">
        <v>33</v>
      </c>
    </row>
    <row r="9" spans="1:22" x14ac:dyDescent="0.25">
      <c r="A9" t="s">
        <v>34</v>
      </c>
      <c r="B9">
        <f>0+(R3+B8)*F3/2/100</f>
        <v>1.242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3.7320000000000002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1.242</v>
      </c>
      <c r="C18" t="s">
        <v>35</v>
      </c>
      <c r="E18" t="s">
        <v>46</v>
      </c>
      <c r="I18" t="s">
        <v>47</v>
      </c>
      <c r="J18">
        <f>+B8-B8/(B26/10000)*(J21+J20)*(J22+J20)</f>
        <v>-0.91430769230769249</v>
      </c>
      <c r="K18" t="s">
        <v>33</v>
      </c>
      <c r="M18" t="s">
        <v>48</v>
      </c>
      <c r="N18">
        <f>+$R$3*($F$3/2)</f>
        <v>19.2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24</v>
      </c>
    </row>
    <row r="20" spans="1:18" x14ac:dyDescent="0.25">
      <c r="E20" t="s">
        <v>53</v>
      </c>
      <c r="F20">
        <f>+B28</f>
        <v>8.8635000000000019</v>
      </c>
      <c r="G20" t="s">
        <v>20</v>
      </c>
      <c r="I20" t="s">
        <v>54</v>
      </c>
      <c r="J20">
        <f>+$F$5/100</f>
        <v>0.2</v>
      </c>
      <c r="K20" t="s">
        <v>51</v>
      </c>
      <c r="M20" t="s">
        <v>55</v>
      </c>
      <c r="N20">
        <f>+$R$5*$F$3/2</f>
        <v>38.4</v>
      </c>
      <c r="R20">
        <f>1.4*90</f>
        <v>125.99999999999999</v>
      </c>
    </row>
    <row r="21" spans="1:18" x14ac:dyDescent="0.25">
      <c r="A21" t="s">
        <v>56</v>
      </c>
      <c r="B21">
        <f>+B18/B17</f>
        <v>0.33279742765273312</v>
      </c>
      <c r="C21" t="s">
        <v>51</v>
      </c>
      <c r="E21" t="s">
        <v>57</v>
      </c>
      <c r="F21">
        <f>+F20*F19^2/2</f>
        <v>0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1.242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3442500</v>
      </c>
      <c r="I22" t="s">
        <v>61</v>
      </c>
      <c r="J22">
        <f>+$B$4/100</f>
        <v>0.2</v>
      </c>
      <c r="K22" t="s">
        <v>51</v>
      </c>
      <c r="M22" t="s">
        <v>62</v>
      </c>
      <c r="N22">
        <f>+N18+N19+N20+N21</f>
        <v>82.841999999999999</v>
      </c>
      <c r="R22">
        <f>+R20-R21</f>
        <v>112.38389999999998</v>
      </c>
    </row>
    <row r="23" spans="1:18" x14ac:dyDescent="0.25">
      <c r="E23" t="s">
        <v>63</v>
      </c>
      <c r="F23">
        <f>+F22*100*$F$5</f>
        <v>5.2704627669472979</v>
      </c>
      <c r="G23" t="s">
        <v>64</v>
      </c>
      <c r="H23">
        <f>(1-(SQRT(H22*(H22-2*F21*100000)))/H22)*N5/U3</f>
        <v>0</v>
      </c>
      <c r="M23" t="s">
        <v>65</v>
      </c>
      <c r="N23">
        <f>+R6</f>
        <v>1.6320000000000001</v>
      </c>
    </row>
    <row r="24" spans="1:18" x14ac:dyDescent="0.25">
      <c r="A24" t="s">
        <v>66</v>
      </c>
      <c r="B24">
        <f>+F3-2*B21*100</f>
        <v>33.440514469453376</v>
      </c>
      <c r="C24" t="s">
        <v>8</v>
      </c>
      <c r="M24" t="s">
        <v>67</v>
      </c>
      <c r="N24">
        <f>+N22/N23</f>
        <v>50.761029411764703</v>
      </c>
    </row>
    <row r="25" spans="1:18" x14ac:dyDescent="0.25">
      <c r="A25" t="s">
        <v>68</v>
      </c>
      <c r="B25">
        <f>+F4-2*B22*100</f>
        <v>100</v>
      </c>
      <c r="C25" t="s">
        <v>8</v>
      </c>
      <c r="E25" t="s">
        <v>98</v>
      </c>
      <c r="F25">
        <f>100/(INT(F23/1.27)+1)</f>
        <v>20</v>
      </c>
      <c r="I25" t="s">
        <v>70</v>
      </c>
      <c r="M25" t="s">
        <v>71</v>
      </c>
      <c r="N25">
        <f>+F3/3</f>
        <v>33.333333333333336</v>
      </c>
    </row>
    <row r="26" spans="1:18" x14ac:dyDescent="0.25">
      <c r="A26" t="s">
        <v>72</v>
      </c>
      <c r="B26">
        <f>+B24*B25</f>
        <v>3344.0514469453374</v>
      </c>
      <c r="C26" t="s">
        <v>73</v>
      </c>
      <c r="I26" t="s">
        <v>74</v>
      </c>
      <c r="J26">
        <f>0.2*J18*$F$5/100</f>
        <v>-3.6572307692307703E-2</v>
      </c>
      <c r="K26" t="s">
        <v>33</v>
      </c>
      <c r="M26" t="s">
        <v>75</v>
      </c>
      <c r="N26">
        <f>+F3*2/3</f>
        <v>66.666666666666671</v>
      </c>
    </row>
    <row r="27" spans="1:18" x14ac:dyDescent="0.25"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8.8635000000000019</v>
      </c>
      <c r="C28" t="s">
        <v>20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</row>
    <row r="30" spans="1:18" x14ac:dyDescent="0.25">
      <c r="A30" t="s">
        <v>83</v>
      </c>
      <c r="B30">
        <f>+B29/B28</f>
        <v>1.692333728211203</v>
      </c>
      <c r="I30" t="s">
        <v>84</v>
      </c>
      <c r="J30">
        <f>2*J20*(J21+J22+2*J20)</f>
        <v>0.64000000000000012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0.53713861819686248</v>
      </c>
      <c r="M31" t="s">
        <v>45</v>
      </c>
    </row>
    <row r="32" spans="1:18" x14ac:dyDescent="0.25">
      <c r="A32" t="str">
        <f>+IF(1.5&lt;B30,"Pasa","No Pasa")</f>
        <v>Pasa</v>
      </c>
      <c r="I32" t="s">
        <v>89</v>
      </c>
      <c r="J32">
        <f>+J31*J19</f>
        <v>10.742772363937249</v>
      </c>
      <c r="M32" t="s">
        <v>48</v>
      </c>
      <c r="N32">
        <f>+$R$3*($F$4/2)</f>
        <v>19.2</v>
      </c>
    </row>
    <row r="33" spans="5:14" x14ac:dyDescent="0.25">
      <c r="E33" t="s">
        <v>69</v>
      </c>
      <c r="I33" t="s">
        <v>90</v>
      </c>
      <c r="J33">
        <f>+(J21+J20)/2</f>
        <v>0.6</v>
      </c>
      <c r="M33" t="s">
        <v>48</v>
      </c>
      <c r="N33">
        <f>+$R$4*$F$4/2</f>
        <v>24</v>
      </c>
    </row>
    <row r="34" spans="5:14" x14ac:dyDescent="0.25">
      <c r="E34" t="s">
        <v>50</v>
      </c>
      <c r="F34">
        <f>+F19-F5/10</f>
        <v>-2</v>
      </c>
      <c r="I34" t="s">
        <v>91</v>
      </c>
      <c r="J34">
        <f>+(J22+J20)/2</f>
        <v>0.2</v>
      </c>
      <c r="M34" t="s">
        <v>55</v>
      </c>
      <c r="N34">
        <f>+$R$5*$F$4/2</f>
        <v>38.4</v>
      </c>
    </row>
    <row r="35" spans="5:14" x14ac:dyDescent="0.25">
      <c r="E35" t="s">
        <v>76</v>
      </c>
      <c r="F35">
        <f>+F20</f>
        <v>8.8635000000000019</v>
      </c>
      <c r="I35" t="s">
        <v>92</v>
      </c>
      <c r="J35">
        <f>+J20*(J21+J20)^3/6+(J21+J20)*J20^3/6+J20*(J22+J20)*(J21+J20)^2/2</f>
        <v>0.11680000000000001</v>
      </c>
      <c r="M35" t="s">
        <v>34</v>
      </c>
      <c r="N35">
        <f>+$B$10</f>
        <v>0</v>
      </c>
    </row>
    <row r="36" spans="5:14" x14ac:dyDescent="0.25">
      <c r="E36" t="s">
        <v>78</v>
      </c>
      <c r="F36">
        <f>IF(F34&gt;0,F35*F34,0)</f>
        <v>0</v>
      </c>
      <c r="I36" t="s">
        <v>93</v>
      </c>
      <c r="J36">
        <f>+J32*J33/J35</f>
        <v>55.185474472280376</v>
      </c>
      <c r="M36" t="s">
        <v>62</v>
      </c>
      <c r="N36">
        <f>+N32+N33+N34+N35</f>
        <v>81.599999999999994</v>
      </c>
    </row>
    <row r="37" spans="5:14" x14ac:dyDescent="0.25">
      <c r="E37" t="s">
        <v>81</v>
      </c>
      <c r="F37">
        <f>0.4*SQRT($N$3)*100*($F$5-$F$6)/1000</f>
        <v>9.4868329805051381</v>
      </c>
      <c r="G37" t="s">
        <v>82</v>
      </c>
      <c r="H37">
        <f>0.9*100*($F$5-$F$6)^2*$N$5</f>
        <v>3442500</v>
      </c>
      <c r="I37" t="s">
        <v>94</v>
      </c>
      <c r="J37">
        <f>+J32*J34/J35</f>
        <v>18.395158157426795</v>
      </c>
      <c r="M37" t="s">
        <v>65</v>
      </c>
      <c r="N37">
        <f>+R6</f>
        <v>1.6320000000000001</v>
      </c>
    </row>
    <row r="38" spans="5:14" x14ac:dyDescent="0.25">
      <c r="H38">
        <f>(1-(SQRT(H37*(H37-2*F44*100000)))/H37)*N5/U3</f>
        <v>8.424893127912511E-4</v>
      </c>
      <c r="I38" t="s">
        <v>47</v>
      </c>
      <c r="J38">
        <f>+J18</f>
        <v>-0.91430769230769249</v>
      </c>
      <c r="K38" t="s">
        <v>82</v>
      </c>
      <c r="M38" t="s">
        <v>67</v>
      </c>
      <c r="N38">
        <f>+N36/N37</f>
        <v>49.999999999999993</v>
      </c>
    </row>
    <row r="39" spans="5:14" x14ac:dyDescent="0.25">
      <c r="I39" t="s">
        <v>95</v>
      </c>
      <c r="J39">
        <f>+J38+J36*J28</f>
        <v>54.271166779972681</v>
      </c>
      <c r="K39" t="s">
        <v>82</v>
      </c>
      <c r="M39" t="s">
        <v>71</v>
      </c>
      <c r="N39">
        <f>+F4/3</f>
        <v>33.333333333333336</v>
      </c>
    </row>
    <row r="40" spans="5:14" x14ac:dyDescent="0.25">
      <c r="E40" t="s">
        <v>88</v>
      </c>
      <c r="I40" t="s">
        <v>96</v>
      </c>
      <c r="J40">
        <f>+J38-J28*J37</f>
        <v>-19.309465849734487</v>
      </c>
      <c r="K40" t="s">
        <v>82</v>
      </c>
      <c r="M40" t="s">
        <v>75</v>
      </c>
      <c r="N40">
        <f>+F4*2/3</f>
        <v>66.666666666666671</v>
      </c>
    </row>
    <row r="41" spans="5:14" x14ac:dyDescent="0.25">
      <c r="E41" t="s">
        <v>46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50</v>
      </c>
      <c r="F42">
        <f>+(F4-B4)/2/100</f>
        <v>0.4</v>
      </c>
      <c r="G42" t="s">
        <v>51</v>
      </c>
      <c r="I42" t="str">
        <f>+IF(J41&lt;J39,"No Pasa","Pasa")</f>
        <v>No Pasa</v>
      </c>
    </row>
    <row r="43" spans="5:14" x14ac:dyDescent="0.25">
      <c r="E43" t="s">
        <v>53</v>
      </c>
      <c r="F43">
        <f>+B28</f>
        <v>8.8635000000000019</v>
      </c>
      <c r="G43" t="s">
        <v>20</v>
      </c>
    </row>
    <row r="44" spans="5:14" x14ac:dyDescent="0.25">
      <c r="E44" t="s">
        <v>57</v>
      </c>
      <c r="F44">
        <f>+F43*F42^2/2</f>
        <v>0.70908000000000027</v>
      </c>
      <c r="G44" t="s">
        <v>35</v>
      </c>
    </row>
    <row r="45" spans="5:14" x14ac:dyDescent="0.25">
      <c r="E45" t="s">
        <v>60</v>
      </c>
      <c r="F45">
        <f>+IF(H38&lt;U4,U4,H38)</f>
        <v>2.6352313834736491E-3</v>
      </c>
    </row>
    <row r="46" spans="5:14" x14ac:dyDescent="0.25">
      <c r="E46" t="s">
        <v>63</v>
      </c>
      <c r="F46">
        <f>+F45*100*$F$5</f>
        <v>5.2704627669472979</v>
      </c>
      <c r="G46" t="s">
        <v>64</v>
      </c>
    </row>
    <row r="47" spans="5:14" x14ac:dyDescent="0.25">
      <c r="I47" t="s">
        <v>41</v>
      </c>
    </row>
    <row r="48" spans="5:14" x14ac:dyDescent="0.25">
      <c r="E48" t="s">
        <v>69</v>
      </c>
      <c r="I48" t="s">
        <v>97</v>
      </c>
    </row>
    <row r="49" spans="5:11" x14ac:dyDescent="0.25">
      <c r="E49" t="s">
        <v>50</v>
      </c>
      <c r="F49">
        <f>+F42-F5/10</f>
        <v>-1.6</v>
      </c>
      <c r="I49" t="s">
        <v>47</v>
      </c>
      <c r="J49">
        <f>+$J$18</f>
        <v>-0.91430769230769249</v>
      </c>
      <c r="K49" t="s">
        <v>33</v>
      </c>
    </row>
    <row r="50" spans="5:11" x14ac:dyDescent="0.25">
      <c r="E50" t="s">
        <v>76</v>
      </c>
      <c r="F50">
        <f>+F43</f>
        <v>8.8635000000000019</v>
      </c>
      <c r="I50" t="s">
        <v>52</v>
      </c>
      <c r="J50">
        <f>+$B$10</f>
        <v>0</v>
      </c>
      <c r="K50" t="s">
        <v>35</v>
      </c>
    </row>
    <row r="51" spans="5:11" x14ac:dyDescent="0.25">
      <c r="E51" t="s">
        <v>78</v>
      </c>
      <c r="F51">
        <f>IF(F49&gt;0,F50*F49,0)</f>
        <v>0</v>
      </c>
      <c r="I51" t="s">
        <v>54</v>
      </c>
      <c r="J51">
        <f>+$F$5/100</f>
        <v>0.2</v>
      </c>
      <c r="K51" t="s">
        <v>51</v>
      </c>
    </row>
    <row r="52" spans="5:11" x14ac:dyDescent="0.25">
      <c r="E52" t="s">
        <v>81</v>
      </c>
      <c r="F52">
        <f>0.4*SQRT($N$3)*100*($F$5-$F$6)/1000</f>
        <v>9.4868329805051381</v>
      </c>
      <c r="I52" t="s">
        <v>58</v>
      </c>
      <c r="J52">
        <f>+$B$4/100</f>
        <v>0.2</v>
      </c>
      <c r="K52" t="s">
        <v>51</v>
      </c>
    </row>
    <row r="53" spans="5:11" x14ac:dyDescent="0.25">
      <c r="I53" t="s">
        <v>61</v>
      </c>
      <c r="J53">
        <f>+$B$3/100</f>
        <v>1</v>
      </c>
      <c r="K53" t="s">
        <v>51</v>
      </c>
    </row>
    <row r="56" spans="5:11" x14ac:dyDescent="0.25">
      <c r="I56" t="s">
        <v>70</v>
      </c>
    </row>
    <row r="57" spans="5:11" x14ac:dyDescent="0.25">
      <c r="I57" t="s">
        <v>74</v>
      </c>
      <c r="J57">
        <f>0.2*J49*$F$5/100</f>
        <v>-3.6572307692307703E-2</v>
      </c>
      <c r="K57" t="s">
        <v>33</v>
      </c>
    </row>
    <row r="58" spans="5:11" x14ac:dyDescent="0.25">
      <c r="I58" t="str">
        <f>+IF(J57&lt;J50,"Si hay tranmición de momento","No hay transmición de momentos")</f>
        <v>Si hay tranmición de momento</v>
      </c>
    </row>
    <row r="59" spans="5:11" x14ac:dyDescent="0.25">
      <c r="I59" t="s">
        <v>79</v>
      </c>
      <c r="J59">
        <f>+IF(J57&lt;J50,1,0)</f>
        <v>1</v>
      </c>
    </row>
    <row r="61" spans="5:11" x14ac:dyDescent="0.25">
      <c r="I61" t="s">
        <v>84</v>
      </c>
      <c r="J61">
        <f>2*J51*(J52+J53+2*J51)</f>
        <v>0.64000000000000012</v>
      </c>
      <c r="K61" t="s">
        <v>85</v>
      </c>
    </row>
    <row r="62" spans="5:11" x14ac:dyDescent="0.25">
      <c r="I62" t="s">
        <v>87</v>
      </c>
      <c r="J62">
        <f>1-1/(1+0.67*SQRT((J52+J51)/(J53+J51)))</f>
        <v>0.27892832153625802</v>
      </c>
    </row>
    <row r="63" spans="5:11" x14ac:dyDescent="0.25">
      <c r="I63" t="s">
        <v>89</v>
      </c>
      <c r="J63">
        <f>+J62*J50</f>
        <v>0</v>
      </c>
    </row>
    <row r="64" spans="5:11" x14ac:dyDescent="0.25">
      <c r="I64" t="s">
        <v>90</v>
      </c>
      <c r="J64">
        <f>+(J52+J51)/2</f>
        <v>0.2</v>
      </c>
    </row>
    <row r="65" spans="9:10" x14ac:dyDescent="0.25">
      <c r="I65" t="s">
        <v>91</v>
      </c>
      <c r="J65">
        <f>+(J53+J51)/2</f>
        <v>0.6</v>
      </c>
    </row>
    <row r="66" spans="9:10" x14ac:dyDescent="0.25">
      <c r="I66" t="s">
        <v>92</v>
      </c>
      <c r="J66">
        <f>+J51*(J52+J51)^3/6+(J52+J51)*J51^3/6+J51*(J53+J51)*(J52+J51)^2/2</f>
        <v>2.186666666666667E-2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-0.91430769230769249</v>
      </c>
    </row>
    <row r="70" spans="9:10" x14ac:dyDescent="0.25">
      <c r="I70" t="s">
        <v>95</v>
      </c>
      <c r="J70">
        <f>+J69+J67*J59</f>
        <v>-0.91430769230769249</v>
      </c>
    </row>
    <row r="71" spans="9:10" x14ac:dyDescent="0.25">
      <c r="I71" t="s">
        <v>96</v>
      </c>
      <c r="J71">
        <f>+J69-J59*J68</f>
        <v>-0.91430769230769249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F3" sqref="F3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D3" t="s">
        <v>99</v>
      </c>
      <c r="E3" t="s">
        <v>9</v>
      </c>
      <c r="F3">
        <v>120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0.86399999999999999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30</v>
      </c>
      <c r="C4" t="s">
        <v>8</v>
      </c>
      <c r="E4" t="s">
        <v>18</v>
      </c>
      <c r="F4">
        <v>100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0.86399999999999999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1.2960000000000003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3.024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0+2.1*F4/100</f>
        <v>2.1</v>
      </c>
      <c r="C8" t="s">
        <v>33</v>
      </c>
    </row>
    <row r="9" spans="1:22" x14ac:dyDescent="0.25">
      <c r="A9" t="s">
        <v>34</v>
      </c>
      <c r="B9">
        <f>2.1+(R3+B8)*F3*0.3/2/100</f>
        <v>2.6335199999999999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5.1240000000000006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2.6335199999999999</v>
      </c>
      <c r="C18" t="s">
        <v>35</v>
      </c>
      <c r="E18" t="s">
        <v>46</v>
      </c>
      <c r="I18" t="s">
        <v>47</v>
      </c>
      <c r="J18">
        <f>+B8-B8/(B26/10000)*(J21+J20)*(J22+J20)</f>
        <v>-7.4185900925421802</v>
      </c>
      <c r="K18" t="s">
        <v>33</v>
      </c>
      <c r="M18" t="s">
        <v>48</v>
      </c>
      <c r="N18">
        <f>+$R$3*($F$3/2)</f>
        <v>51.839999999999996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0.1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51.839999999999996</v>
      </c>
    </row>
    <row r="20" spans="1:18" x14ac:dyDescent="0.25">
      <c r="E20" t="s">
        <v>53</v>
      </c>
      <c r="F20">
        <f>+B28</f>
        <v>22.244910179640701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77.760000000000019</v>
      </c>
      <c r="R20">
        <f>1.4*90</f>
        <v>125.99999999999999</v>
      </c>
    </row>
    <row r="21" spans="1:18" x14ac:dyDescent="0.25">
      <c r="A21" t="s">
        <v>56</v>
      </c>
      <c r="B21">
        <f>+B18/B17</f>
        <v>0.51395784543325518</v>
      </c>
      <c r="C21" t="s">
        <v>51</v>
      </c>
      <c r="E21" t="s">
        <v>57</v>
      </c>
      <c r="F21">
        <f>+F20*F19^2/2</f>
        <v>0.11122455089820353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2.6335199999999999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0.3</v>
      </c>
      <c r="K22" t="s">
        <v>51</v>
      </c>
      <c r="M22" t="s">
        <v>62</v>
      </c>
      <c r="N22">
        <f>+N18+N19+N20+N21</f>
        <v>184.07352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4.7106586536544397E-5</v>
      </c>
      <c r="M23" t="s">
        <v>65</v>
      </c>
      <c r="N23">
        <f>+R6</f>
        <v>3.024</v>
      </c>
    </row>
    <row r="24" spans="1:18" x14ac:dyDescent="0.25">
      <c r="A24" t="s">
        <v>66</v>
      </c>
      <c r="B24">
        <f>+F3-2*B21*100</f>
        <v>17.208430913348963</v>
      </c>
      <c r="C24" t="s">
        <v>8</v>
      </c>
      <c r="M24" t="s">
        <v>67</v>
      </c>
      <c r="N24">
        <f>+N22/N23</f>
        <v>60.870873015873016</v>
      </c>
    </row>
    <row r="25" spans="1:18" x14ac:dyDescent="0.25">
      <c r="A25" t="s">
        <v>68</v>
      </c>
      <c r="B25">
        <f>+F4-2*B22*100</f>
        <v>100</v>
      </c>
      <c r="C25" t="s">
        <v>8</v>
      </c>
      <c r="E25" t="s">
        <v>69</v>
      </c>
      <c r="I25" t="s">
        <v>70</v>
      </c>
      <c r="M25" t="s">
        <v>71</v>
      </c>
      <c r="N25">
        <f>+F3/3</f>
        <v>40</v>
      </c>
    </row>
    <row r="26" spans="1:18" x14ac:dyDescent="0.25">
      <c r="A26" t="s">
        <v>72</v>
      </c>
      <c r="B26">
        <f>+B24*B25</f>
        <v>1720.8430913348961</v>
      </c>
      <c r="C26" t="s">
        <v>73</v>
      </c>
      <c r="E26" t="s">
        <v>50</v>
      </c>
      <c r="F26">
        <f>+F19-F5/10</f>
        <v>-2.9</v>
      </c>
      <c r="I26" t="s">
        <v>74</v>
      </c>
      <c r="J26">
        <f>0.2*J18*$F$5/100</f>
        <v>-0.44511540555253082</v>
      </c>
      <c r="K26" t="s">
        <v>33</v>
      </c>
      <c r="M26" t="s">
        <v>75</v>
      </c>
      <c r="N26">
        <f>+F3*2/3</f>
        <v>80</v>
      </c>
    </row>
    <row r="27" spans="1:18" x14ac:dyDescent="0.25">
      <c r="E27" t="s">
        <v>76</v>
      </c>
      <c r="F27">
        <f>+F20</f>
        <v>22.244910179640701</v>
      </c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22.244910179640701</v>
      </c>
      <c r="C28" t="s">
        <v>20</v>
      </c>
      <c r="E28" t="s">
        <v>78</v>
      </c>
      <c r="F28">
        <f>IF(F26&gt;0,F27*F26,0)</f>
        <v>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  <c r="E29" t="s">
        <v>81</v>
      </c>
      <c r="F29">
        <f>0.4*SQRT($N$3)*100*($F$5-$F$6)/1000</f>
        <v>15.811388300841898</v>
      </c>
      <c r="G29" t="s">
        <v>82</v>
      </c>
    </row>
    <row r="30" spans="1:18" x14ac:dyDescent="0.25">
      <c r="A30" t="s">
        <v>83</v>
      </c>
      <c r="B30">
        <f>+B29/B28</f>
        <v>0.67431155616571159</v>
      </c>
      <c r="I30" t="s">
        <v>84</v>
      </c>
      <c r="J30">
        <f>2*J20*(J21+J22+2*J20)</f>
        <v>1.1399999999999999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0.4965294001196433</v>
      </c>
      <c r="M31" t="s">
        <v>45</v>
      </c>
    </row>
    <row r="32" spans="1:18" x14ac:dyDescent="0.25">
      <c r="A32" t="str">
        <f>+IF(1.5&lt;B30,"Pasa","No Pasa")</f>
        <v>No Pasa</v>
      </c>
      <c r="E32" t="s">
        <v>88</v>
      </c>
      <c r="I32" t="s">
        <v>89</v>
      </c>
      <c r="J32">
        <f>+J31*J19</f>
        <v>9.9305880023928665</v>
      </c>
      <c r="M32" t="s">
        <v>48</v>
      </c>
      <c r="N32">
        <f>+$R$3*($F$4/2)</f>
        <v>43.2</v>
      </c>
    </row>
    <row r="33" spans="5:14" x14ac:dyDescent="0.25">
      <c r="E33" t="s">
        <v>46</v>
      </c>
      <c r="I33" t="s">
        <v>90</v>
      </c>
      <c r="J33">
        <f>+(J21+J20)/2</f>
        <v>0.65</v>
      </c>
      <c r="M33" t="s">
        <v>48</v>
      </c>
      <c r="N33">
        <f>+$R$4*$F$4/2</f>
        <v>43.2</v>
      </c>
    </row>
    <row r="34" spans="5:14" x14ac:dyDescent="0.25">
      <c r="E34" t="s">
        <v>50</v>
      </c>
      <c r="F34">
        <f>+(F4-B4)/2/100</f>
        <v>0.35</v>
      </c>
      <c r="G34" t="s">
        <v>51</v>
      </c>
      <c r="I34" t="s">
        <v>91</v>
      </c>
      <c r="J34">
        <f>+(J22+J20)/2</f>
        <v>0.3</v>
      </c>
      <c r="M34" t="s">
        <v>55</v>
      </c>
      <c r="N34">
        <f>+$R$5*$F$4/2</f>
        <v>64.800000000000011</v>
      </c>
    </row>
    <row r="35" spans="5:14" x14ac:dyDescent="0.25">
      <c r="E35" t="s">
        <v>53</v>
      </c>
      <c r="F35">
        <f>+B28</f>
        <v>22.244910179640701</v>
      </c>
      <c r="G35" t="s">
        <v>20</v>
      </c>
      <c r="I35" t="s">
        <v>92</v>
      </c>
      <c r="J35">
        <f>+J20*(J21+J20)^3/6+(J21+J20)*J20^3/6+J20*(J22+J20)*(J21+J20)^2/2</f>
        <v>0.26780000000000004</v>
      </c>
      <c r="M35" t="s">
        <v>34</v>
      </c>
      <c r="N35">
        <f>+$B$10</f>
        <v>0</v>
      </c>
    </row>
    <row r="36" spans="5:14" x14ac:dyDescent="0.25">
      <c r="E36" t="s">
        <v>57</v>
      </c>
      <c r="F36">
        <f>+F35*F34^2/2</f>
        <v>1.3625007485029927</v>
      </c>
      <c r="G36" t="s">
        <v>35</v>
      </c>
      <c r="I36" t="s">
        <v>93</v>
      </c>
      <c r="J36">
        <f>+J32*J33/J35</f>
        <v>24.10336893784676</v>
      </c>
      <c r="M36" t="s">
        <v>62</v>
      </c>
      <c r="N36">
        <f>+N32+N33+N34+N35</f>
        <v>151.20000000000002</v>
      </c>
    </row>
    <row r="37" spans="5:14" x14ac:dyDescent="0.25">
      <c r="E37" t="s">
        <v>60</v>
      </c>
      <c r="F37">
        <f>+IF(H38&lt;U4,U4,H38)</f>
        <v>2.6352313834736491E-3</v>
      </c>
      <c r="H37">
        <f>0.9*100*($F$5-$F$6)^2*$N$5</f>
        <v>9562500</v>
      </c>
      <c r="I37" t="s">
        <v>94</v>
      </c>
      <c r="J37">
        <f>+J32*J34/J35</f>
        <v>11.124631817467735</v>
      </c>
      <c r="M37" t="s">
        <v>65</v>
      </c>
      <c r="N37">
        <f>+R6</f>
        <v>3.024</v>
      </c>
    </row>
    <row r="38" spans="5:14" x14ac:dyDescent="0.25">
      <c r="E38" t="s">
        <v>63</v>
      </c>
      <c r="F38">
        <f>+F37*100*$F$5</f>
        <v>7.9056941504209473</v>
      </c>
      <c r="G38" t="s">
        <v>64</v>
      </c>
      <c r="H38">
        <f>(1-(SQRT(H37*(H37-2*F36*100000)))/H37)*N5/U3</f>
        <v>5.8088815950561249E-4</v>
      </c>
      <c r="I38" t="s">
        <v>47</v>
      </c>
      <c r="J38">
        <f>+J18</f>
        <v>-7.4185900925421802</v>
      </c>
      <c r="K38" t="s">
        <v>82</v>
      </c>
      <c r="M38" t="s">
        <v>67</v>
      </c>
      <c r="N38">
        <f>+N36/N37</f>
        <v>50.000000000000007</v>
      </c>
    </row>
    <row r="39" spans="5:14" x14ac:dyDescent="0.25">
      <c r="I39" t="s">
        <v>95</v>
      </c>
      <c r="J39">
        <f>+J38+J36*J28</f>
        <v>16.684778845304578</v>
      </c>
      <c r="K39" t="s">
        <v>82</v>
      </c>
      <c r="M39" t="s">
        <v>71</v>
      </c>
      <c r="N39">
        <f>+F4/3</f>
        <v>33.333333333333336</v>
      </c>
    </row>
    <row r="40" spans="5:14" x14ac:dyDescent="0.25">
      <c r="E40" t="s">
        <v>69</v>
      </c>
      <c r="I40" t="s">
        <v>96</v>
      </c>
      <c r="J40">
        <f>+J38-J28*J37</f>
        <v>-18.543221910009915</v>
      </c>
      <c r="K40" t="s">
        <v>82</v>
      </c>
      <c r="M40" t="s">
        <v>75</v>
      </c>
      <c r="N40">
        <f>+F4*2/3</f>
        <v>66.666666666666671</v>
      </c>
    </row>
    <row r="41" spans="5:14" x14ac:dyDescent="0.25">
      <c r="E41" t="s">
        <v>50</v>
      </c>
      <c r="F41">
        <f>+F34-F5/10</f>
        <v>-2.65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76</v>
      </c>
      <c r="F42">
        <f>+F35</f>
        <v>22.244910179640701</v>
      </c>
      <c r="I42" t="str">
        <f>+IF(J41&lt;J39,"No Pasa","Pasa")</f>
        <v>Pasa</v>
      </c>
    </row>
    <row r="43" spans="5:14" x14ac:dyDescent="0.25">
      <c r="E43" t="s">
        <v>78</v>
      </c>
      <c r="F43">
        <f>IF(F41&gt;0,F42*F41,0)</f>
        <v>0</v>
      </c>
    </row>
    <row r="44" spans="5:14" x14ac:dyDescent="0.25">
      <c r="E44" t="s">
        <v>81</v>
      </c>
      <c r="F44">
        <f>0.4*SQRT($N$3)*100*($F$5-$F$6)/1000</f>
        <v>15.811388300841898</v>
      </c>
    </row>
    <row r="47" spans="5:14" x14ac:dyDescent="0.25">
      <c r="I47" t="s">
        <v>41</v>
      </c>
    </row>
    <row r="48" spans="5:14" x14ac:dyDescent="0.25">
      <c r="I48" t="s">
        <v>97</v>
      </c>
    </row>
    <row r="49" spans="9:11" x14ac:dyDescent="0.25">
      <c r="I49" t="s">
        <v>47</v>
      </c>
      <c r="J49">
        <f>+$J$18</f>
        <v>-7.4185900925421802</v>
      </c>
      <c r="K49" t="s">
        <v>33</v>
      </c>
    </row>
    <row r="50" spans="9:11" x14ac:dyDescent="0.25">
      <c r="I50" t="s">
        <v>52</v>
      </c>
      <c r="J50">
        <f>+$B$10</f>
        <v>0</v>
      </c>
      <c r="K50" t="s">
        <v>35</v>
      </c>
    </row>
    <row r="51" spans="9:11" x14ac:dyDescent="0.25">
      <c r="I51" t="s">
        <v>54</v>
      </c>
      <c r="J51">
        <f>+$F$5/100</f>
        <v>0.3</v>
      </c>
      <c r="K51" t="s">
        <v>51</v>
      </c>
    </row>
    <row r="52" spans="9:11" x14ac:dyDescent="0.25">
      <c r="I52" t="s">
        <v>58</v>
      </c>
      <c r="J52">
        <f>+$B$4/100</f>
        <v>0.3</v>
      </c>
      <c r="K52" t="s">
        <v>51</v>
      </c>
    </row>
    <row r="53" spans="9:11" x14ac:dyDescent="0.25">
      <c r="I53" t="s">
        <v>61</v>
      </c>
      <c r="J53">
        <f>+$B$3/100</f>
        <v>1</v>
      </c>
      <c r="K53" t="s">
        <v>51</v>
      </c>
    </row>
    <row r="56" spans="9:11" x14ac:dyDescent="0.25">
      <c r="I56" t="s">
        <v>70</v>
      </c>
    </row>
    <row r="57" spans="9:11" x14ac:dyDescent="0.25">
      <c r="I57" t="s">
        <v>74</v>
      </c>
      <c r="J57">
        <f>0.2*J49*$F$5/100</f>
        <v>-0.44511540555253082</v>
      </c>
      <c r="K57" t="s">
        <v>33</v>
      </c>
    </row>
    <row r="58" spans="9:11" x14ac:dyDescent="0.25">
      <c r="I58" t="str">
        <f>+IF(J57&lt;J50,"Si hay tranmición de momento","No hay transmición de momentos")</f>
        <v>Si hay tranmición de momento</v>
      </c>
    </row>
    <row r="59" spans="9:11" x14ac:dyDescent="0.25">
      <c r="I59" t="s">
        <v>79</v>
      </c>
      <c r="J59">
        <f>+IF(J57&lt;J50,1,0)</f>
        <v>1</v>
      </c>
    </row>
    <row r="61" spans="9:11" x14ac:dyDescent="0.25">
      <c r="I61" t="s">
        <v>84</v>
      </c>
      <c r="J61">
        <f>2*J51*(J52+J53+2*J51)</f>
        <v>1.1399999999999999</v>
      </c>
      <c r="K61" t="s">
        <v>85</v>
      </c>
    </row>
    <row r="62" spans="9:11" x14ac:dyDescent="0.25">
      <c r="I62" t="s">
        <v>87</v>
      </c>
      <c r="J62">
        <f>1-1/(1+0.67*SQRT((J52+J51)/(J53+J51)))</f>
        <v>0.31279760352004127</v>
      </c>
    </row>
    <row r="63" spans="9:11" x14ac:dyDescent="0.25">
      <c r="I63" t="s">
        <v>89</v>
      </c>
      <c r="J63">
        <f>+J62*J50</f>
        <v>0</v>
      </c>
    </row>
    <row r="64" spans="9:11" x14ac:dyDescent="0.25">
      <c r="I64" t="s">
        <v>90</v>
      </c>
      <c r="J64">
        <f>+(J52+J51)/2</f>
        <v>0.3</v>
      </c>
    </row>
    <row r="65" spans="9:10" x14ac:dyDescent="0.25">
      <c r="I65" t="s">
        <v>91</v>
      </c>
      <c r="J65">
        <f>+(J53+J51)/2</f>
        <v>0.65</v>
      </c>
    </row>
    <row r="66" spans="9:10" x14ac:dyDescent="0.25">
      <c r="I66" t="s">
        <v>92</v>
      </c>
      <c r="J66">
        <f>+J51*(J52+J51)^3/6+(J52+J51)*J51^3/6+J51*(J53+J51)*(J52+J51)^2/2</f>
        <v>8.3699999999999997E-2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-7.4185900925421802</v>
      </c>
    </row>
    <row r="70" spans="9:10" x14ac:dyDescent="0.25">
      <c r="I70" t="s">
        <v>95</v>
      </c>
      <c r="J70">
        <f>+J69+J67*J59</f>
        <v>-7.4185900925421802</v>
      </c>
    </row>
    <row r="71" spans="9:10" x14ac:dyDescent="0.25">
      <c r="I71" t="s">
        <v>96</v>
      </c>
      <c r="J71">
        <f>+J69-J59*J68</f>
        <v>-7.4185900925421802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A10" workbookViewId="0">
      <selection activeCell="F5" sqref="F5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E3" t="s">
        <v>9</v>
      </c>
      <c r="F3">
        <v>200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0.432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15</v>
      </c>
      <c r="C4" t="s">
        <v>8</v>
      </c>
      <c r="E4" t="s">
        <v>18</v>
      </c>
      <c r="F4">
        <v>260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3.7439999999999998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7.2720000000000002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11.448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12.5+2.1*F4/100</f>
        <v>17.96</v>
      </c>
      <c r="C8" t="s">
        <v>33</v>
      </c>
    </row>
    <row r="9" spans="1:22" x14ac:dyDescent="0.25">
      <c r="A9" t="s">
        <v>34</v>
      </c>
      <c r="B9">
        <f>3.5+(R3+B8)*F3/2/100</f>
        <v>21.891999999999999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29.408000000000001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21.891999999999999</v>
      </c>
      <c r="C18" t="s">
        <v>35</v>
      </c>
      <c r="E18" t="s">
        <v>46</v>
      </c>
      <c r="I18" t="s">
        <v>47</v>
      </c>
      <c r="J18">
        <f>+B8-B8/(B26/10000)*(J21+J20)*(J22+J20)</f>
        <v>10.054350186269296</v>
      </c>
      <c r="K18" t="s">
        <v>33</v>
      </c>
      <c r="M18" t="s">
        <v>48</v>
      </c>
      <c r="N18">
        <f>+$R$3*($F$3/2)</f>
        <v>43.2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0.5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374.4</v>
      </c>
    </row>
    <row r="20" spans="1:18" x14ac:dyDescent="0.25">
      <c r="E20" t="s">
        <v>53</v>
      </c>
      <c r="F20">
        <f>+B28</f>
        <v>16.656146067875707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727.2</v>
      </c>
      <c r="R20">
        <f>1.4*90</f>
        <v>125.99999999999999</v>
      </c>
    </row>
    <row r="21" spans="1:18" x14ac:dyDescent="0.25">
      <c r="A21" t="s">
        <v>56</v>
      </c>
      <c r="B21">
        <f>+B18/B17</f>
        <v>0.74442328618063103</v>
      </c>
      <c r="C21" t="s">
        <v>51</v>
      </c>
      <c r="E21" t="s">
        <v>57</v>
      </c>
      <c r="F21">
        <f>+F20*F19^2/2</f>
        <v>2.0820182584844633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21.891999999999999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0.15</v>
      </c>
      <c r="K22" t="s">
        <v>51</v>
      </c>
      <c r="M22" t="s">
        <v>62</v>
      </c>
      <c r="N22">
        <f>+N18+N19+N20+N21</f>
        <v>1166.692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8.9108623336483562E-4</v>
      </c>
      <c r="M23" t="s">
        <v>65</v>
      </c>
      <c r="N23">
        <f>+R6</f>
        <v>11.448</v>
      </c>
    </row>
    <row r="24" spans="1:18" x14ac:dyDescent="0.25">
      <c r="A24" t="s">
        <v>66</v>
      </c>
      <c r="B24">
        <f>+F3-2*B21*100</f>
        <v>51.115342763873798</v>
      </c>
      <c r="C24" t="s">
        <v>8</v>
      </c>
      <c r="M24" t="s">
        <v>67</v>
      </c>
      <c r="N24">
        <f>+N22/N23</f>
        <v>101.91229909154437</v>
      </c>
    </row>
    <row r="25" spans="1:18" x14ac:dyDescent="0.25">
      <c r="A25" t="s">
        <v>68</v>
      </c>
      <c r="B25">
        <f>+F4-2*B22*100</f>
        <v>260</v>
      </c>
      <c r="C25" t="s">
        <v>8</v>
      </c>
      <c r="E25" t="s">
        <v>69</v>
      </c>
      <c r="I25" t="s">
        <v>70</v>
      </c>
      <c r="M25" t="s">
        <v>71</v>
      </c>
      <c r="N25">
        <f>+F3/3</f>
        <v>66.666666666666671</v>
      </c>
    </row>
    <row r="26" spans="1:18" x14ac:dyDescent="0.25">
      <c r="A26" t="s">
        <v>72</v>
      </c>
      <c r="B26">
        <f>+B24*B25</f>
        <v>13289.989118607187</v>
      </c>
      <c r="C26" t="s">
        <v>73</v>
      </c>
      <c r="E26" t="s">
        <v>50</v>
      </c>
      <c r="F26">
        <f>+F19-F5/10</f>
        <v>-2.5</v>
      </c>
      <c r="I26" t="s">
        <v>74</v>
      </c>
      <c r="J26">
        <f>0.2*J18*$F$5/100</f>
        <v>0.60326101117615782</v>
      </c>
      <c r="K26" t="s">
        <v>33</v>
      </c>
      <c r="M26" t="s">
        <v>75</v>
      </c>
      <c r="N26">
        <f>+F3*2/3</f>
        <v>133.33333333333334</v>
      </c>
    </row>
    <row r="27" spans="1:18" x14ac:dyDescent="0.25">
      <c r="E27" t="s">
        <v>76</v>
      </c>
      <c r="F27">
        <f>+F20</f>
        <v>16.656146067875707</v>
      </c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16.656146067875707</v>
      </c>
      <c r="C28" t="s">
        <v>20</v>
      </c>
      <c r="E28" t="s">
        <v>78</v>
      </c>
      <c r="F28">
        <f>IF(F26&gt;0,F27*F26,0)</f>
        <v>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  <c r="E29" t="s">
        <v>81</v>
      </c>
      <c r="F29">
        <f>0.4*SQRT($N$3)*100*($F$5-$F$6)/1000</f>
        <v>15.811388300841898</v>
      </c>
      <c r="G29" t="s">
        <v>82</v>
      </c>
    </row>
    <row r="30" spans="1:18" x14ac:dyDescent="0.25">
      <c r="A30" t="s">
        <v>83</v>
      </c>
      <c r="B30">
        <f>+B29/B28</f>
        <v>0.90056847117414074</v>
      </c>
      <c r="I30" t="s">
        <v>84</v>
      </c>
      <c r="J30">
        <f>2*J20*(J21+J22+2*J20)</f>
        <v>1.05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0.53244395361177754</v>
      </c>
      <c r="M31" t="s">
        <v>45</v>
      </c>
    </row>
    <row r="32" spans="1:18" x14ac:dyDescent="0.25">
      <c r="A32" t="str">
        <f>+IF(1.5&lt;B30,"Pasa","No Pasa")</f>
        <v>No Pasa</v>
      </c>
      <c r="E32" t="s">
        <v>88</v>
      </c>
      <c r="I32" t="s">
        <v>89</v>
      </c>
      <c r="J32">
        <f>+J31*J19</f>
        <v>10.648879072235552</v>
      </c>
      <c r="M32" t="s">
        <v>48</v>
      </c>
      <c r="N32">
        <f>+$R$3*($F$4/2)</f>
        <v>56.16</v>
      </c>
    </row>
    <row r="33" spans="5:14" x14ac:dyDescent="0.25">
      <c r="E33" t="s">
        <v>46</v>
      </c>
      <c r="I33" t="s">
        <v>90</v>
      </c>
      <c r="J33">
        <f>+(J21+J20)/2</f>
        <v>0.65</v>
      </c>
      <c r="M33" t="s">
        <v>48</v>
      </c>
      <c r="N33">
        <f>+$R$4*$F$4/2</f>
        <v>486.71999999999997</v>
      </c>
    </row>
    <row r="34" spans="5:14" x14ac:dyDescent="0.25">
      <c r="E34" t="s">
        <v>50</v>
      </c>
      <c r="F34">
        <f>+(F4-B4)/2/100</f>
        <v>1.2250000000000001</v>
      </c>
      <c r="G34" t="s">
        <v>51</v>
      </c>
      <c r="I34" t="s">
        <v>91</v>
      </c>
      <c r="J34">
        <f>+(J22+J20)/2</f>
        <v>0.22499999999999998</v>
      </c>
      <c r="M34" t="s">
        <v>55</v>
      </c>
      <c r="N34">
        <f>+$R$5*$F$4/2</f>
        <v>945.36</v>
      </c>
    </row>
    <row r="35" spans="5:14" x14ac:dyDescent="0.25">
      <c r="E35" t="s">
        <v>53</v>
      </c>
      <c r="F35">
        <f>+B28</f>
        <v>16.656146067875707</v>
      </c>
      <c r="G35" t="s">
        <v>20</v>
      </c>
      <c r="I35" t="s">
        <v>92</v>
      </c>
      <c r="J35">
        <f>+J20*(J21+J20)^3/6+(J21+J20)*J20^3/6+J20*(J22+J20)*(J21+J20)^2/2</f>
        <v>0.22977500000000001</v>
      </c>
      <c r="M35" t="s">
        <v>34</v>
      </c>
      <c r="N35">
        <f>+$B$10</f>
        <v>0</v>
      </c>
    </row>
    <row r="36" spans="5:14" x14ac:dyDescent="0.25">
      <c r="E36" t="s">
        <v>57</v>
      </c>
      <c r="F36">
        <f>+F35*F34^2/2</f>
        <v>12.497314596552993</v>
      </c>
      <c r="G36" t="s">
        <v>35</v>
      </c>
      <c r="I36" t="s">
        <v>93</v>
      </c>
      <c r="J36">
        <f>+J32*J33/J35</f>
        <v>30.124127502787985</v>
      </c>
      <c r="M36" t="s">
        <v>62</v>
      </c>
      <c r="N36">
        <f>+N32+N33+N34+N35</f>
        <v>1488.24</v>
      </c>
    </row>
    <row r="37" spans="5:14" x14ac:dyDescent="0.25">
      <c r="E37" t="s">
        <v>60</v>
      </c>
      <c r="F37">
        <f>+IF(H38&lt;U4,U4,H38)</f>
        <v>5.6897773760432096E-3</v>
      </c>
      <c r="H37">
        <f>0.9*100*($F$5-$F$6)^2*$N$5</f>
        <v>9562500</v>
      </c>
      <c r="I37" t="s">
        <v>94</v>
      </c>
      <c r="J37">
        <f>+J32*J34/J35</f>
        <v>10.427582597118917</v>
      </c>
      <c r="M37" t="s">
        <v>65</v>
      </c>
      <c r="N37">
        <f>+R6</f>
        <v>11.448</v>
      </c>
    </row>
    <row r="38" spans="5:14" x14ac:dyDescent="0.25">
      <c r="E38" t="s">
        <v>63</v>
      </c>
      <c r="F38">
        <f>+F37*100*$F$5</f>
        <v>17.069332128129627</v>
      </c>
      <c r="G38" t="s">
        <v>64</v>
      </c>
      <c r="H38">
        <f>(1-(SQRT(H37*(H37-2*F36*100000)))/H37)*N5/U3</f>
        <v>5.6897773760432096E-3</v>
      </c>
      <c r="I38" t="s">
        <v>47</v>
      </c>
      <c r="J38">
        <f>+J18</f>
        <v>10.054350186269296</v>
      </c>
      <c r="K38" t="s">
        <v>82</v>
      </c>
      <c r="M38" t="s">
        <v>67</v>
      </c>
      <c r="N38">
        <f>+N36/N37</f>
        <v>130</v>
      </c>
    </row>
    <row r="39" spans="5:14" x14ac:dyDescent="0.25">
      <c r="I39" t="s">
        <v>95</v>
      </c>
      <c r="J39">
        <f>+J38+J36*J28</f>
        <v>40.178477689057281</v>
      </c>
      <c r="K39" t="s">
        <v>82</v>
      </c>
      <c r="M39" t="s">
        <v>71</v>
      </c>
      <c r="N39">
        <f>+F4/3</f>
        <v>86.666666666666671</v>
      </c>
    </row>
    <row r="40" spans="5:14" x14ac:dyDescent="0.25">
      <c r="E40" t="s">
        <v>69</v>
      </c>
      <c r="I40" t="s">
        <v>96</v>
      </c>
      <c r="J40">
        <f>+J38-J28*J37</f>
        <v>-0.37323241084962078</v>
      </c>
      <c r="K40" t="s">
        <v>82</v>
      </c>
      <c r="M40" t="s">
        <v>75</v>
      </c>
      <c r="N40">
        <f>+F4*2/3</f>
        <v>173.33333333333334</v>
      </c>
    </row>
    <row r="41" spans="5:14" x14ac:dyDescent="0.25">
      <c r="E41" t="s">
        <v>50</v>
      </c>
      <c r="F41">
        <f>+F34-F5/10</f>
        <v>-1.7749999999999999</v>
      </c>
      <c r="I41" t="s">
        <v>81</v>
      </c>
      <c r="J41">
        <f>0.4*SQRT(N4)*10*0.8</f>
        <v>45.254833995939045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76</v>
      </c>
      <c r="F42">
        <f>+F35</f>
        <v>16.656146067875707</v>
      </c>
      <c r="I42" t="str">
        <f>+IF(J41&lt;J39,"No Pasa","Pasa")</f>
        <v>Pasa</v>
      </c>
    </row>
    <row r="43" spans="5:14" x14ac:dyDescent="0.25">
      <c r="E43" t="s">
        <v>78</v>
      </c>
      <c r="F43">
        <f>IF(F41&gt;0,F42*F41,0)</f>
        <v>0</v>
      </c>
    </row>
    <row r="44" spans="5:14" x14ac:dyDescent="0.25">
      <c r="E44" t="s">
        <v>81</v>
      </c>
      <c r="F44">
        <f>0.4*SQRT($N$3)*100*($F$5-$F$6)/1000</f>
        <v>15.811388300841898</v>
      </c>
    </row>
    <row r="47" spans="5:14" x14ac:dyDescent="0.25">
      <c r="I47" t="s">
        <v>41</v>
      </c>
    </row>
    <row r="48" spans="5:14" x14ac:dyDescent="0.25">
      <c r="I48" t="s">
        <v>97</v>
      </c>
    </row>
    <row r="49" spans="9:11" x14ac:dyDescent="0.25">
      <c r="I49" t="s">
        <v>47</v>
      </c>
      <c r="J49">
        <f>+$J$18</f>
        <v>10.054350186269296</v>
      </c>
      <c r="K49" t="s">
        <v>33</v>
      </c>
    </row>
    <row r="50" spans="9:11" x14ac:dyDescent="0.25">
      <c r="I50" t="s">
        <v>52</v>
      </c>
      <c r="J50">
        <f>+$B$10</f>
        <v>0</v>
      </c>
      <c r="K50" t="s">
        <v>35</v>
      </c>
    </row>
    <row r="51" spans="9:11" x14ac:dyDescent="0.25">
      <c r="I51" t="s">
        <v>54</v>
      </c>
      <c r="J51">
        <f>+$F$5/100</f>
        <v>0.3</v>
      </c>
      <c r="K51" t="s">
        <v>51</v>
      </c>
    </row>
    <row r="52" spans="9:11" x14ac:dyDescent="0.25">
      <c r="I52" t="s">
        <v>58</v>
      </c>
      <c r="J52">
        <f>+$B$4/100</f>
        <v>0.15</v>
      </c>
      <c r="K52" t="s">
        <v>51</v>
      </c>
    </row>
    <row r="53" spans="9:11" x14ac:dyDescent="0.25">
      <c r="I53" t="s">
        <v>61</v>
      </c>
      <c r="J53">
        <f>+$B$3/100</f>
        <v>1</v>
      </c>
      <c r="K53" t="s">
        <v>51</v>
      </c>
    </row>
    <row r="56" spans="9:11" x14ac:dyDescent="0.25">
      <c r="I56" t="s">
        <v>70</v>
      </c>
    </row>
    <row r="57" spans="9:11" x14ac:dyDescent="0.25">
      <c r="I57" t="s">
        <v>74</v>
      </c>
      <c r="J57">
        <f>0.2*J49*$F$5/100</f>
        <v>0.60326101117615782</v>
      </c>
      <c r="K57" t="s">
        <v>33</v>
      </c>
    </row>
    <row r="58" spans="9:11" x14ac:dyDescent="0.25">
      <c r="I58" t="str">
        <f>+IF(J57&lt;J50,"Si hay tranmición de momento","No hay transmición de momentos")</f>
        <v>No hay transmición de momentos</v>
      </c>
    </row>
    <row r="59" spans="9:11" x14ac:dyDescent="0.25">
      <c r="I59" t="s">
        <v>79</v>
      </c>
      <c r="J59">
        <f>+IF(J57&lt;J50,1,0)</f>
        <v>0</v>
      </c>
    </row>
    <row r="61" spans="9:11" x14ac:dyDescent="0.25">
      <c r="I61" t="s">
        <v>84</v>
      </c>
      <c r="J61">
        <f>2*J51*(J52+J53+2*J51)</f>
        <v>1.05</v>
      </c>
      <c r="K61" t="s">
        <v>85</v>
      </c>
    </row>
    <row r="62" spans="9:11" x14ac:dyDescent="0.25">
      <c r="I62" t="s">
        <v>87</v>
      </c>
      <c r="J62">
        <f>1-1/(1+0.67*SQRT((J52+J51)/(J53+J51)))</f>
        <v>0.28273941239812106</v>
      </c>
    </row>
    <row r="63" spans="9:11" x14ac:dyDescent="0.25">
      <c r="I63" t="s">
        <v>89</v>
      </c>
      <c r="J63">
        <f>+J62*J50</f>
        <v>0</v>
      </c>
    </row>
    <row r="64" spans="9:11" x14ac:dyDescent="0.25">
      <c r="I64" t="s">
        <v>90</v>
      </c>
      <c r="J64">
        <f>+(J52+J51)/2</f>
        <v>0.22499999999999998</v>
      </c>
    </row>
    <row r="65" spans="9:10" x14ac:dyDescent="0.25">
      <c r="I65" t="s">
        <v>91</v>
      </c>
      <c r="J65">
        <f>+(J53+J51)/2</f>
        <v>0.65</v>
      </c>
    </row>
    <row r="66" spans="9:10" x14ac:dyDescent="0.25">
      <c r="I66" t="s">
        <v>92</v>
      </c>
      <c r="J66">
        <f>+J51*(J52+J51)^3/6+(J52+J51)*J51^3/6+J51*(J53+J51)*(J52+J51)^2/2</f>
        <v>4.6068749999999992E-2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10.054350186269296</v>
      </c>
    </row>
    <row r="70" spans="9:10" x14ac:dyDescent="0.25">
      <c r="I70" t="s">
        <v>95</v>
      </c>
      <c r="J70">
        <f>+J69+J67*J59</f>
        <v>10.054350186269296</v>
      </c>
    </row>
    <row r="71" spans="9:10" x14ac:dyDescent="0.25">
      <c r="I71" t="s">
        <v>96</v>
      </c>
      <c r="J71">
        <f>+J69-J59*J68</f>
        <v>10.054350186269296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B8" sqref="B8"/>
    </sheetView>
  </sheetViews>
  <sheetFormatPr baseColWidth="10" defaultRowHeight="15" x14ac:dyDescent="0.25"/>
  <cols>
    <col min="2" max="2" width="12" bestFit="1" customWidth="1"/>
  </cols>
  <sheetData>
    <row r="1" spans="1:22" x14ac:dyDescent="0.25">
      <c r="A1" t="s">
        <v>0</v>
      </c>
    </row>
    <row r="2" spans="1:22" x14ac:dyDescent="0.25">
      <c r="A2" t="s">
        <v>1</v>
      </c>
      <c r="E2" t="s">
        <v>2</v>
      </c>
      <c r="I2" t="s">
        <v>3</v>
      </c>
      <c r="M2" t="s">
        <v>4</v>
      </c>
      <c r="Q2" t="s">
        <v>5</v>
      </c>
      <c r="T2" t="s">
        <v>6</v>
      </c>
    </row>
    <row r="3" spans="1:22" x14ac:dyDescent="0.25">
      <c r="A3" t="s">
        <v>7</v>
      </c>
      <c r="B3">
        <v>100</v>
      </c>
      <c r="C3" t="s">
        <v>8</v>
      </c>
      <c r="E3" t="s">
        <v>9</v>
      </c>
      <c r="F3">
        <v>120</v>
      </c>
      <c r="G3" t="s">
        <v>8</v>
      </c>
      <c r="I3" t="s">
        <v>10</v>
      </c>
      <c r="J3">
        <v>1.6</v>
      </c>
      <c r="K3" t="s">
        <v>11</v>
      </c>
      <c r="M3" t="s">
        <v>12</v>
      </c>
      <c r="N3">
        <v>250</v>
      </c>
      <c r="O3" t="s">
        <v>13</v>
      </c>
      <c r="Q3" t="s">
        <v>14</v>
      </c>
      <c r="R3">
        <f>+B3/100*B4/100*B5/100*N6</f>
        <v>0.432</v>
      </c>
      <c r="S3" t="s">
        <v>15</v>
      </c>
      <c r="T3" t="s">
        <v>16</v>
      </c>
      <c r="U3">
        <v>4200</v>
      </c>
      <c r="V3" t="s">
        <v>13</v>
      </c>
    </row>
    <row r="4" spans="1:22" x14ac:dyDescent="0.25">
      <c r="A4" t="s">
        <v>17</v>
      </c>
      <c r="B4">
        <v>15</v>
      </c>
      <c r="C4" t="s">
        <v>8</v>
      </c>
      <c r="E4" t="s">
        <v>18</v>
      </c>
      <c r="F4">
        <v>100</v>
      </c>
      <c r="G4" t="s">
        <v>8</v>
      </c>
      <c r="I4" t="s">
        <v>19</v>
      </c>
      <c r="J4">
        <v>15</v>
      </c>
      <c r="K4" t="s">
        <v>20</v>
      </c>
      <c r="M4" t="s">
        <v>21</v>
      </c>
      <c r="N4">
        <f>+N3*0.8</f>
        <v>200</v>
      </c>
      <c r="O4" t="s">
        <v>13</v>
      </c>
      <c r="Q4" t="s">
        <v>0</v>
      </c>
      <c r="R4">
        <f>+F3/100*F4/100*F5/100*N6</f>
        <v>0.86399999999999999</v>
      </c>
      <c r="S4" t="s">
        <v>15</v>
      </c>
      <c r="T4" t="s">
        <v>22</v>
      </c>
      <c r="U4">
        <f>0.7*SQRT(N3)/U3</f>
        <v>2.6352313834736491E-3</v>
      </c>
    </row>
    <row r="5" spans="1:22" x14ac:dyDescent="0.25">
      <c r="A5" t="s">
        <v>23</v>
      </c>
      <c r="B5">
        <v>120</v>
      </c>
      <c r="C5" t="s">
        <v>8</v>
      </c>
      <c r="E5" t="s">
        <v>24</v>
      </c>
      <c r="F5">
        <v>30</v>
      </c>
      <c r="G5" t="s">
        <v>8</v>
      </c>
      <c r="I5" t="s">
        <v>25</v>
      </c>
      <c r="J5">
        <f>+B5-F5</f>
        <v>90</v>
      </c>
      <c r="K5" t="s">
        <v>8</v>
      </c>
      <c r="M5" t="s">
        <v>26</v>
      </c>
      <c r="N5">
        <f>+N4*0.85</f>
        <v>170</v>
      </c>
      <c r="O5" t="s">
        <v>13</v>
      </c>
      <c r="Q5" t="s">
        <v>27</v>
      </c>
      <c r="R5">
        <f>+(F3*F4-B3*B4)*J5/1000000*J3</f>
        <v>1.512</v>
      </c>
      <c r="S5" t="s">
        <v>15</v>
      </c>
    </row>
    <row r="6" spans="1:22" x14ac:dyDescent="0.25">
      <c r="E6" t="s">
        <v>28</v>
      </c>
      <c r="F6">
        <v>5</v>
      </c>
      <c r="G6" t="s">
        <v>8</v>
      </c>
      <c r="M6" t="s">
        <v>29</v>
      </c>
      <c r="N6">
        <v>2.4</v>
      </c>
      <c r="O6" t="s">
        <v>11</v>
      </c>
      <c r="Q6" t="s">
        <v>30</v>
      </c>
      <c r="R6">
        <f>+R3+R4+R5</f>
        <v>2.8079999999999998</v>
      </c>
      <c r="S6" t="s">
        <v>15</v>
      </c>
    </row>
    <row r="7" spans="1:22" x14ac:dyDescent="0.25">
      <c r="A7" t="s">
        <v>31</v>
      </c>
    </row>
    <row r="8" spans="1:22" x14ac:dyDescent="0.25">
      <c r="A8" t="s">
        <v>32</v>
      </c>
      <c r="B8">
        <f>2*0+2.1*F4/100</f>
        <v>2.1</v>
      </c>
      <c r="C8" t="s">
        <v>33</v>
      </c>
    </row>
    <row r="9" spans="1:22" x14ac:dyDescent="0.25">
      <c r="A9" t="s">
        <v>34</v>
      </c>
      <c r="B9">
        <f>1+(R3+B8)*F3/2/100</f>
        <v>2.5192000000000001</v>
      </c>
      <c r="C9" t="s">
        <v>35</v>
      </c>
    </row>
    <row r="10" spans="1:22" x14ac:dyDescent="0.25">
      <c r="A10" t="s">
        <v>36</v>
      </c>
      <c r="B10">
        <v>0</v>
      </c>
      <c r="C10" t="s">
        <v>35</v>
      </c>
    </row>
    <row r="11" spans="1:22" x14ac:dyDescent="0.25">
      <c r="A11" t="s">
        <v>37</v>
      </c>
    </row>
    <row r="12" spans="1:22" x14ac:dyDescent="0.25">
      <c r="A12" t="s">
        <v>38</v>
      </c>
    </row>
    <row r="16" spans="1:22" x14ac:dyDescent="0.25">
      <c r="A16" t="s">
        <v>39</v>
      </c>
      <c r="E16" t="s">
        <v>40</v>
      </c>
      <c r="I16" t="s">
        <v>41</v>
      </c>
      <c r="M16" t="s">
        <v>42</v>
      </c>
      <c r="P16" t="s">
        <v>43</v>
      </c>
    </row>
    <row r="17" spans="1:18" x14ac:dyDescent="0.25">
      <c r="A17" t="s">
        <v>32</v>
      </c>
      <c r="B17">
        <f>+B8+R6</f>
        <v>4.9079999999999995</v>
      </c>
      <c r="C17" t="s">
        <v>33</v>
      </c>
      <c r="E17" t="s">
        <v>44</v>
      </c>
      <c r="I17" t="s">
        <v>44</v>
      </c>
      <c r="M17" t="s">
        <v>45</v>
      </c>
    </row>
    <row r="18" spans="1:18" x14ac:dyDescent="0.25">
      <c r="A18" t="s">
        <v>34</v>
      </c>
      <c r="B18">
        <f>+B9</f>
        <v>2.5192000000000001</v>
      </c>
      <c r="C18" t="s">
        <v>35</v>
      </c>
      <c r="E18" t="s">
        <v>46</v>
      </c>
      <c r="I18" t="s">
        <v>47</v>
      </c>
      <c r="J18">
        <f>+B8-B8/(B26/10000)*(J21+J20)*(J22+J20)</f>
        <v>-4.9835032894736866</v>
      </c>
      <c r="K18" t="s">
        <v>33</v>
      </c>
      <c r="M18" t="s">
        <v>48</v>
      </c>
      <c r="N18">
        <f>+$R$3*($F$3/2)</f>
        <v>25.919999999999998</v>
      </c>
    </row>
    <row r="19" spans="1:18" x14ac:dyDescent="0.25">
      <c r="A19" t="s">
        <v>49</v>
      </c>
      <c r="B19">
        <f>+B10</f>
        <v>0</v>
      </c>
      <c r="C19" t="s">
        <v>35</v>
      </c>
      <c r="E19" t="s">
        <v>50</v>
      </c>
      <c r="F19">
        <f>+(F3-B3)/2/100</f>
        <v>0.1</v>
      </c>
      <c r="G19" t="s">
        <v>51</v>
      </c>
      <c r="I19" t="s">
        <v>52</v>
      </c>
      <c r="J19">
        <v>20</v>
      </c>
      <c r="K19" t="s">
        <v>35</v>
      </c>
      <c r="M19" t="s">
        <v>48</v>
      </c>
      <c r="N19">
        <f>+$R$4*$F$3/2</f>
        <v>51.839999999999996</v>
      </c>
    </row>
    <row r="20" spans="1:18" x14ac:dyDescent="0.25">
      <c r="E20" t="s">
        <v>53</v>
      </c>
      <c r="F20">
        <f>+B28</f>
        <v>19.581259398496247</v>
      </c>
      <c r="G20" t="s">
        <v>20</v>
      </c>
      <c r="I20" t="s">
        <v>54</v>
      </c>
      <c r="J20">
        <f>+$F$5/100</f>
        <v>0.3</v>
      </c>
      <c r="K20" t="s">
        <v>51</v>
      </c>
      <c r="M20" t="s">
        <v>55</v>
      </c>
      <c r="N20">
        <f>+$R$5*$F$3/2</f>
        <v>90.72</v>
      </c>
      <c r="R20">
        <f>1.4*90</f>
        <v>125.99999999999999</v>
      </c>
    </row>
    <row r="21" spans="1:18" x14ac:dyDescent="0.25">
      <c r="A21" t="s">
        <v>56</v>
      </c>
      <c r="B21">
        <f>+B18/B17</f>
        <v>0.51328443357783216</v>
      </c>
      <c r="C21" t="s">
        <v>51</v>
      </c>
      <c r="E21" t="s">
        <v>57</v>
      </c>
      <c r="F21">
        <f>+F20*F19^2/2</f>
        <v>9.7906296992481254E-2</v>
      </c>
      <c r="G21" t="s">
        <v>35</v>
      </c>
      <c r="I21" t="s">
        <v>58</v>
      </c>
      <c r="J21">
        <f>+$B$3/100</f>
        <v>1</v>
      </c>
      <c r="K21" t="s">
        <v>51</v>
      </c>
      <c r="M21" t="s">
        <v>34</v>
      </c>
      <c r="N21">
        <f>+$B$9</f>
        <v>2.5192000000000001</v>
      </c>
      <c r="R21">
        <f>16.81*0.9*0.9</f>
        <v>13.616099999999999</v>
      </c>
    </row>
    <row r="22" spans="1:18" x14ac:dyDescent="0.25">
      <c r="A22" t="s">
        <v>59</v>
      </c>
      <c r="B22">
        <f>+B19/B17</f>
        <v>0</v>
      </c>
      <c r="C22" t="s">
        <v>51</v>
      </c>
      <c r="E22" t="s">
        <v>60</v>
      </c>
      <c r="F22">
        <f>+IF(H23&lt;U4,U4,H23)</f>
        <v>2.6352313834736491E-3</v>
      </c>
      <c r="H22">
        <f>0.9*100*($F$5-$F$6)^2*$N$5</f>
        <v>9562500</v>
      </c>
      <c r="I22" t="s">
        <v>61</v>
      </c>
      <c r="J22">
        <f>+$B$4/100</f>
        <v>0.15</v>
      </c>
      <c r="K22" t="s">
        <v>51</v>
      </c>
      <c r="M22" t="s">
        <v>62</v>
      </c>
      <c r="N22">
        <f>+N18+N19+N20+N21</f>
        <v>170.9992</v>
      </c>
      <c r="R22">
        <f>+R20-R21</f>
        <v>112.38389999999998</v>
      </c>
    </row>
    <row r="23" spans="1:18" x14ac:dyDescent="0.25">
      <c r="E23" t="s">
        <v>63</v>
      </c>
      <c r="F23">
        <f>+F22*100*$F$5</f>
        <v>7.9056941504209473</v>
      </c>
      <c r="G23" t="s">
        <v>64</v>
      </c>
      <c r="H23">
        <f>(1-(SQRT(H22*(H22-2*F21*100000)))/H22)*N5/U3</f>
        <v>4.146305582394948E-5</v>
      </c>
      <c r="M23" t="s">
        <v>65</v>
      </c>
      <c r="N23">
        <f>+R6</f>
        <v>2.8079999999999998</v>
      </c>
    </row>
    <row r="24" spans="1:18" x14ac:dyDescent="0.25">
      <c r="A24" t="s">
        <v>66</v>
      </c>
      <c r="B24">
        <f>+F3-2*B21*100</f>
        <v>17.343113284433571</v>
      </c>
      <c r="C24" t="s">
        <v>8</v>
      </c>
      <c r="M24" t="s">
        <v>67</v>
      </c>
      <c r="N24">
        <f>+N22/N23</f>
        <v>60.897150997151002</v>
      </c>
    </row>
    <row r="25" spans="1:18" x14ac:dyDescent="0.25">
      <c r="A25" t="s">
        <v>68</v>
      </c>
      <c r="B25">
        <f>+F4-2*B22*100</f>
        <v>100</v>
      </c>
      <c r="C25" t="s">
        <v>8</v>
      </c>
      <c r="E25" t="s">
        <v>69</v>
      </c>
      <c r="I25" t="s">
        <v>70</v>
      </c>
      <c r="M25" t="s">
        <v>71</v>
      </c>
      <c r="N25">
        <f>+F3/3</f>
        <v>40</v>
      </c>
    </row>
    <row r="26" spans="1:18" x14ac:dyDescent="0.25">
      <c r="A26" t="s">
        <v>72</v>
      </c>
      <c r="B26">
        <f>+B24*B25</f>
        <v>1734.3113284433571</v>
      </c>
      <c r="C26" t="s">
        <v>73</v>
      </c>
      <c r="E26" t="s">
        <v>50</v>
      </c>
      <c r="F26">
        <f>+F19-F5/10</f>
        <v>-2.9</v>
      </c>
      <c r="I26" t="s">
        <v>74</v>
      </c>
      <c r="J26">
        <f>0.2*J18*$F$5/100</f>
        <v>-0.29901019736842122</v>
      </c>
      <c r="K26" t="s">
        <v>33</v>
      </c>
      <c r="M26" t="s">
        <v>75</v>
      </c>
      <c r="N26">
        <f>+F3*2/3</f>
        <v>80</v>
      </c>
    </row>
    <row r="27" spans="1:18" x14ac:dyDescent="0.25">
      <c r="E27" t="s">
        <v>76</v>
      </c>
      <c r="F27">
        <f>+F20</f>
        <v>19.581259398496247</v>
      </c>
      <c r="I27" t="str">
        <f>+IF(J26&lt;J19,"Si hay tranmición de momento","No hay transmición de momentos")</f>
        <v>Si hay tranmición de momento</v>
      </c>
      <c r="N27" t="str">
        <f>+IF((N24&gt;N25)*(N24&lt;N26),"Pasa","No pasa")</f>
        <v>Pasa</v>
      </c>
    </row>
    <row r="28" spans="1:18" x14ac:dyDescent="0.25">
      <c r="A28" t="s">
        <v>77</v>
      </c>
      <c r="B28">
        <f>+(B17-R5)/B26*10000</f>
        <v>19.581259398496247</v>
      </c>
      <c r="C28" t="s">
        <v>20</v>
      </c>
      <c r="E28" t="s">
        <v>78</v>
      </c>
      <c r="F28">
        <f>IF(F26&gt;0,F27*F26,0)</f>
        <v>0</v>
      </c>
      <c r="I28" t="s">
        <v>79</v>
      </c>
      <c r="J28">
        <f>+IF(J26&lt;J19,1,0)</f>
        <v>1</v>
      </c>
    </row>
    <row r="29" spans="1:18" x14ac:dyDescent="0.25">
      <c r="A29" t="s">
        <v>80</v>
      </c>
      <c r="B29">
        <f>+J4</f>
        <v>15</v>
      </c>
      <c r="C29" t="s">
        <v>20</v>
      </c>
      <c r="E29" t="s">
        <v>81</v>
      </c>
      <c r="F29">
        <f>0.4*SQRT($N$3)*100*($F$5-$F$6)/1000</f>
        <v>15.811388300841898</v>
      </c>
      <c r="G29" t="s">
        <v>82</v>
      </c>
    </row>
    <row r="30" spans="1:18" x14ac:dyDescent="0.25">
      <c r="A30" t="s">
        <v>83</v>
      </c>
      <c r="B30">
        <f>+B29/B28</f>
        <v>0.76603857263399167</v>
      </c>
      <c r="I30" t="s">
        <v>84</v>
      </c>
      <c r="J30">
        <f>2*J20*(J21+J22+2*J20)</f>
        <v>1.05</v>
      </c>
      <c r="K30" t="s">
        <v>85</v>
      </c>
    </row>
    <row r="31" spans="1:18" x14ac:dyDescent="0.25">
      <c r="A31" t="s">
        <v>86</v>
      </c>
      <c r="I31" t="s">
        <v>87</v>
      </c>
      <c r="J31">
        <f>1-1/(1+0.67*SQRT((J21+J20)/(J22+J20)))</f>
        <v>0.53244395361177754</v>
      </c>
      <c r="M31" t="s">
        <v>45</v>
      </c>
    </row>
    <row r="32" spans="1:18" x14ac:dyDescent="0.25">
      <c r="A32" t="str">
        <f>+IF(1.5&lt;B30,"Pasa","No Pasa")</f>
        <v>No Pasa</v>
      </c>
      <c r="E32" t="s">
        <v>88</v>
      </c>
      <c r="I32" t="s">
        <v>89</v>
      </c>
      <c r="J32">
        <f>+J31*J19</f>
        <v>10.648879072235552</v>
      </c>
      <c r="M32" t="s">
        <v>48</v>
      </c>
      <c r="N32">
        <f>+$R$3*($F$4/2)</f>
        <v>21.6</v>
      </c>
    </row>
    <row r="33" spans="5:14" x14ac:dyDescent="0.25">
      <c r="E33" t="s">
        <v>46</v>
      </c>
      <c r="I33" t="s">
        <v>90</v>
      </c>
      <c r="J33">
        <f>+(J21+J20)/2</f>
        <v>0.65</v>
      </c>
      <c r="M33" t="s">
        <v>48</v>
      </c>
      <c r="N33">
        <f>+$R$4*$F$4/2</f>
        <v>43.2</v>
      </c>
    </row>
    <row r="34" spans="5:14" x14ac:dyDescent="0.25">
      <c r="E34" t="s">
        <v>50</v>
      </c>
      <c r="F34">
        <f>+(F4-B4)/2/100</f>
        <v>0.42499999999999999</v>
      </c>
      <c r="G34" t="s">
        <v>51</v>
      </c>
      <c r="I34" t="s">
        <v>91</v>
      </c>
      <c r="J34">
        <f>+(J22+J20)/2</f>
        <v>0.22499999999999998</v>
      </c>
      <c r="M34" t="s">
        <v>55</v>
      </c>
      <c r="N34">
        <f>+$R$5*$F$4/2</f>
        <v>75.599999999999994</v>
      </c>
    </row>
    <row r="35" spans="5:14" x14ac:dyDescent="0.25">
      <c r="E35" t="s">
        <v>53</v>
      </c>
      <c r="F35">
        <f>+B28</f>
        <v>19.581259398496247</v>
      </c>
      <c r="G35" t="s">
        <v>20</v>
      </c>
      <c r="I35" t="s">
        <v>92</v>
      </c>
      <c r="J35">
        <f>+J20*(J21+J20)^3/6+(J21+J20)*J20^3/6+J20*(J22+J20)*(J21+J20)^2/2</f>
        <v>0.22977500000000001</v>
      </c>
      <c r="M35" t="s">
        <v>34</v>
      </c>
      <c r="N35">
        <f>+$B$10</f>
        <v>0</v>
      </c>
    </row>
    <row r="36" spans="5:14" x14ac:dyDescent="0.25">
      <c r="E36" t="s">
        <v>57</v>
      </c>
      <c r="F36">
        <f>+F35*F34^2/2</f>
        <v>1.7684324894266921</v>
      </c>
      <c r="G36" t="s">
        <v>35</v>
      </c>
      <c r="I36" t="s">
        <v>93</v>
      </c>
      <c r="J36">
        <f>+J32*J33/J35</f>
        <v>30.124127502787985</v>
      </c>
      <c r="M36" t="s">
        <v>62</v>
      </c>
      <c r="N36">
        <f>+N32+N33+N34+N35</f>
        <v>140.4</v>
      </c>
    </row>
    <row r="37" spans="5:14" x14ac:dyDescent="0.25">
      <c r="E37" t="s">
        <v>60</v>
      </c>
      <c r="F37">
        <f>+IF(H38&lt;U4,U4,H38)</f>
        <v>2.6352313834736491E-3</v>
      </c>
      <c r="H37">
        <f>0.9*100*($F$5-$F$6)^2*$N$5</f>
        <v>9562500</v>
      </c>
      <c r="I37" t="s">
        <v>94</v>
      </c>
      <c r="J37">
        <f>+J32*J34/J35</f>
        <v>10.427582597118917</v>
      </c>
      <c r="M37" t="s">
        <v>65</v>
      </c>
      <c r="N37">
        <f>+R6</f>
        <v>2.8079999999999998</v>
      </c>
    </row>
    <row r="38" spans="5:14" x14ac:dyDescent="0.25">
      <c r="E38" t="s">
        <v>63</v>
      </c>
      <c r="F38">
        <f>+F37*100*$F$5</f>
        <v>7.9056941504209473</v>
      </c>
      <c r="G38" t="s">
        <v>64</v>
      </c>
      <c r="H38">
        <f>(1-(SQRT(H37*(H37-2*F36*100000)))/H37)*N5/U3</f>
        <v>7.5559544922064524E-4</v>
      </c>
      <c r="I38" t="s">
        <v>47</v>
      </c>
      <c r="J38">
        <f>+J18</f>
        <v>-4.9835032894736866</v>
      </c>
      <c r="K38" t="s">
        <v>82</v>
      </c>
      <c r="M38" t="s">
        <v>67</v>
      </c>
      <c r="N38">
        <f>+N36/N37</f>
        <v>50.000000000000007</v>
      </c>
    </row>
    <row r="39" spans="5:14" x14ac:dyDescent="0.25">
      <c r="I39" t="s">
        <v>95</v>
      </c>
      <c r="J39">
        <f>+J38+J36*J28</f>
        <v>25.140624213314297</v>
      </c>
      <c r="K39" t="s">
        <v>82</v>
      </c>
      <c r="M39" t="s">
        <v>71</v>
      </c>
      <c r="N39">
        <f>+F4/3</f>
        <v>33.333333333333336</v>
      </c>
    </row>
    <row r="40" spans="5:14" x14ac:dyDescent="0.25">
      <c r="E40" t="s">
        <v>69</v>
      </c>
      <c r="I40" t="s">
        <v>96</v>
      </c>
      <c r="J40">
        <f>+J38-J28*J37</f>
        <v>-15.411085886592604</v>
      </c>
      <c r="K40" t="s">
        <v>82</v>
      </c>
      <c r="M40" t="s">
        <v>75</v>
      </c>
      <c r="N40">
        <f>+F4*2/3</f>
        <v>66.666666666666671</v>
      </c>
    </row>
    <row r="41" spans="5:14" x14ac:dyDescent="0.25">
      <c r="E41" t="s">
        <v>50</v>
      </c>
      <c r="F41">
        <f>+F34-F5/10</f>
        <v>-2.5750000000000002</v>
      </c>
      <c r="I41" t="s">
        <v>81</v>
      </c>
      <c r="J41">
        <f>0.5*SQRT(N4)*10*0.8</f>
        <v>56.568542494923804</v>
      </c>
      <c r="K41" t="s">
        <v>82</v>
      </c>
      <c r="N41" t="str">
        <f>+IF((N38&gt;N39)*(N38&lt;N40),"Pasa","No pasa")</f>
        <v>Pasa</v>
      </c>
    </row>
    <row r="42" spans="5:14" x14ac:dyDescent="0.25">
      <c r="E42" t="s">
        <v>76</v>
      </c>
      <c r="F42">
        <f>+F35</f>
        <v>19.581259398496247</v>
      </c>
      <c r="I42" t="str">
        <f>+IF(J41&lt;J39,"No Pasa","Pasa")</f>
        <v>Pasa</v>
      </c>
    </row>
    <row r="43" spans="5:14" x14ac:dyDescent="0.25">
      <c r="E43" t="s">
        <v>78</v>
      </c>
      <c r="F43">
        <f>IF(F41&gt;0,F42*F41,0)</f>
        <v>0</v>
      </c>
    </row>
    <row r="44" spans="5:14" x14ac:dyDescent="0.25">
      <c r="E44" t="s">
        <v>81</v>
      </c>
      <c r="F44">
        <f>0.4*SQRT($N$3)*100*($F$5-$F$6)/1000</f>
        <v>15.811388300841898</v>
      </c>
    </row>
    <row r="47" spans="5:14" x14ac:dyDescent="0.25">
      <c r="I47" t="s">
        <v>41</v>
      </c>
    </row>
    <row r="48" spans="5:14" x14ac:dyDescent="0.25">
      <c r="I48" t="s">
        <v>97</v>
      </c>
    </row>
    <row r="49" spans="9:11" x14ac:dyDescent="0.25">
      <c r="I49" t="s">
        <v>47</v>
      </c>
      <c r="J49">
        <f>+$J$18</f>
        <v>-4.9835032894736866</v>
      </c>
      <c r="K49" t="s">
        <v>33</v>
      </c>
    </row>
    <row r="50" spans="9:11" x14ac:dyDescent="0.25">
      <c r="I50" t="s">
        <v>52</v>
      </c>
      <c r="J50">
        <f>+$B$10</f>
        <v>0</v>
      </c>
      <c r="K50" t="s">
        <v>35</v>
      </c>
    </row>
    <row r="51" spans="9:11" x14ac:dyDescent="0.25">
      <c r="I51" t="s">
        <v>54</v>
      </c>
      <c r="J51">
        <f>+$F$5/100</f>
        <v>0.3</v>
      </c>
      <c r="K51" t="s">
        <v>51</v>
      </c>
    </row>
    <row r="52" spans="9:11" x14ac:dyDescent="0.25">
      <c r="I52" t="s">
        <v>58</v>
      </c>
      <c r="J52">
        <f>+$B$4/100</f>
        <v>0.15</v>
      </c>
      <c r="K52" t="s">
        <v>51</v>
      </c>
    </row>
    <row r="53" spans="9:11" x14ac:dyDescent="0.25">
      <c r="I53" t="s">
        <v>61</v>
      </c>
      <c r="J53">
        <f>+$B$3/100</f>
        <v>1</v>
      </c>
      <c r="K53" t="s">
        <v>51</v>
      </c>
    </row>
    <row r="56" spans="9:11" x14ac:dyDescent="0.25">
      <c r="I56" t="s">
        <v>70</v>
      </c>
    </row>
    <row r="57" spans="9:11" x14ac:dyDescent="0.25">
      <c r="I57" t="s">
        <v>74</v>
      </c>
      <c r="J57">
        <f>0.2*J49*$F$5/100</f>
        <v>-0.29901019736842122</v>
      </c>
      <c r="K57" t="s">
        <v>33</v>
      </c>
    </row>
    <row r="58" spans="9:11" x14ac:dyDescent="0.25">
      <c r="I58" t="str">
        <f>+IF(J57&lt;J50,"Si hay tranmición de momento","No hay transmición de momentos")</f>
        <v>Si hay tranmición de momento</v>
      </c>
    </row>
    <row r="59" spans="9:11" x14ac:dyDescent="0.25">
      <c r="I59" t="s">
        <v>79</v>
      </c>
      <c r="J59">
        <f>+IF(J57&lt;J50,1,0)</f>
        <v>1</v>
      </c>
    </row>
    <row r="61" spans="9:11" x14ac:dyDescent="0.25">
      <c r="I61" t="s">
        <v>84</v>
      </c>
      <c r="J61">
        <f>2*J51*(J52+J53+2*J51)</f>
        <v>1.05</v>
      </c>
      <c r="K61" t="s">
        <v>85</v>
      </c>
    </row>
    <row r="62" spans="9:11" x14ac:dyDescent="0.25">
      <c r="I62" t="s">
        <v>87</v>
      </c>
      <c r="J62">
        <f>1-1/(1+0.67*SQRT((J52+J51)/(J53+J51)))</f>
        <v>0.28273941239812106</v>
      </c>
    </row>
    <row r="63" spans="9:11" x14ac:dyDescent="0.25">
      <c r="I63" t="s">
        <v>89</v>
      </c>
      <c r="J63">
        <f>+J62*J50</f>
        <v>0</v>
      </c>
    </row>
    <row r="64" spans="9:11" x14ac:dyDescent="0.25">
      <c r="I64" t="s">
        <v>90</v>
      </c>
      <c r="J64">
        <f>+(J52+J51)/2</f>
        <v>0.22499999999999998</v>
      </c>
    </row>
    <row r="65" spans="9:10" x14ac:dyDescent="0.25">
      <c r="I65" t="s">
        <v>91</v>
      </c>
      <c r="J65">
        <f>+(J53+J51)/2</f>
        <v>0.65</v>
      </c>
    </row>
    <row r="66" spans="9:10" x14ac:dyDescent="0.25">
      <c r="I66" t="s">
        <v>92</v>
      </c>
      <c r="J66">
        <f>+J51*(J52+J51)^3/6+(J52+J51)*J51^3/6+J51*(J53+J51)*(J52+J51)^2/2</f>
        <v>4.6068749999999992E-2</v>
      </c>
    </row>
    <row r="67" spans="9:10" x14ac:dyDescent="0.25">
      <c r="I67" t="s">
        <v>93</v>
      </c>
      <c r="J67">
        <f>+J63*J64/J66</f>
        <v>0</v>
      </c>
    </row>
    <row r="68" spans="9:10" x14ac:dyDescent="0.25">
      <c r="I68" t="s">
        <v>94</v>
      </c>
      <c r="J68">
        <f>+J63*J65/J66</f>
        <v>0</v>
      </c>
    </row>
    <row r="69" spans="9:10" x14ac:dyDescent="0.25">
      <c r="I69" t="s">
        <v>47</v>
      </c>
      <c r="J69">
        <f>+J49</f>
        <v>-4.9835032894736866</v>
      </c>
    </row>
    <row r="70" spans="9:10" x14ac:dyDescent="0.25">
      <c r="I70" t="s">
        <v>95</v>
      </c>
      <c r="J70">
        <f>+J69+J67*J59</f>
        <v>-4.9835032894736866</v>
      </c>
    </row>
    <row r="71" spans="9:10" x14ac:dyDescent="0.25">
      <c r="I71" t="s">
        <v>96</v>
      </c>
      <c r="J71">
        <f>+J69-J59*J68</f>
        <v>-4.9835032894736866</v>
      </c>
    </row>
    <row r="72" spans="9:10" x14ac:dyDescent="0.25">
      <c r="I72" t="s">
        <v>81</v>
      </c>
      <c r="J72">
        <f>0.4*SQRT(N4)*10*0.8</f>
        <v>45.254833995939045</v>
      </c>
    </row>
    <row r="73" spans="9:10" x14ac:dyDescent="0.25">
      <c r="I73" t="str">
        <f>+IF(J72&lt;J70,"No Pasa","Pasa")</f>
        <v>Pasa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Z1</vt:lpstr>
      <vt:lpstr>Hoja2</vt:lpstr>
      <vt:lpstr>Z2</vt:lpstr>
      <vt:lpstr>Z3</vt:lpstr>
      <vt:lpstr>ZMUR</vt:lpstr>
      <vt:lpstr>Hoja3</vt:lpstr>
      <vt:lpstr>ZejeExtr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2019-02-17T17:35:55Z</dcterms:created>
  <dcterms:modified xsi:type="dcterms:W3CDTF">2019-02-26T15:29:14Z</dcterms:modified>
</cp:coreProperties>
</file>