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\Aqua\MC\Excel\"/>
    </mc:Choice>
  </mc:AlternateContent>
  <xr:revisionPtr revIDLastSave="0" documentId="13_ncr:1_{1CA4AD50-0FA4-4276-8E88-FEB9C1C039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Sheet1" sheetId="2" r:id="rId2"/>
  </sheets>
  <definedNames>
    <definedName name="As_Flexión">Hoja1!$H$7</definedName>
    <definedName name="Ash">Hoja1!$H$5</definedName>
    <definedName name="B">Hoja1!$B$6</definedName>
    <definedName name="d">Hoja1!$B$7</definedName>
    <definedName name="f__c">Hoja1!$E$6</definedName>
    <definedName name="f_c">Hoja1!$E$5</definedName>
    <definedName name="FY">Hoja1!$E$7</definedName>
    <definedName name="Fyh">Hoja1!$H$6</definedName>
    <definedName name="H">Hoja1!$B$5</definedName>
    <definedName name="L">Hoja1!$B$9</definedName>
    <definedName name="θ">Hoja1!$H$8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20" i="1" l="1"/>
  <c r="H7" i="1"/>
  <c r="H6" i="1" l="1"/>
  <c r="K5" i="1"/>
  <c r="L5" i="1"/>
  <c r="E6" i="1"/>
  <c r="B7" i="1"/>
  <c r="H8" i="1"/>
  <c r="L9" i="1"/>
  <c r="E13" i="1"/>
  <c r="E14" i="1"/>
  <c r="E15" i="1"/>
  <c r="E16" i="1"/>
  <c r="E17" i="1"/>
  <c r="I17" i="1"/>
  <c r="E18" i="1"/>
  <c r="L7" i="1" l="1"/>
  <c r="L6" i="1"/>
  <c r="L8" i="1" s="1"/>
  <c r="K6" i="1"/>
  <c r="B14" i="1" s="1"/>
  <c r="C27" i="1"/>
  <c r="C22" i="1"/>
  <c r="I16" i="1" s="1"/>
  <c r="K8" i="1" l="1"/>
  <c r="B16" i="1" s="1"/>
  <c r="C24" i="1"/>
  <c r="C28" i="1"/>
  <c r="C30" i="1"/>
  <c r="F13" i="1" l="1"/>
  <c r="G13" i="1" s="1"/>
  <c r="F16" i="1"/>
  <c r="G16" i="1" s="1"/>
  <c r="B15" i="1"/>
  <c r="F18" i="1"/>
  <c r="G18" i="1" s="1"/>
  <c r="F14" i="1"/>
  <c r="G14" i="1" s="1"/>
  <c r="F15" i="1"/>
  <c r="G15" i="1" s="1"/>
  <c r="F17" i="1"/>
  <c r="G17" i="1" s="1"/>
  <c r="C25" i="1"/>
  <c r="C31" i="1" l="1"/>
  <c r="C32" i="1" s="1"/>
  <c r="C34" i="1" s="1"/>
  <c r="G29" i="1" l="1"/>
  <c r="K9" i="1"/>
  <c r="G23" i="1"/>
  <c r="I14" i="1"/>
  <c r="I15" i="1" s="1"/>
  <c r="G24" i="1"/>
  <c r="G28" i="1"/>
  <c r="G25" i="1"/>
  <c r="G26" i="1"/>
  <c r="G27" i="1"/>
</calcChain>
</file>

<file path=xl/sharedStrings.xml><?xml version="1.0" encoding="utf-8"?>
<sst xmlns="http://schemas.openxmlformats.org/spreadsheetml/2006/main" count="105" uniqueCount="69">
  <si>
    <t>Datos</t>
  </si>
  <si>
    <t>Revisión de una viga de concreto armado</t>
  </si>
  <si>
    <t>Perfil</t>
  </si>
  <si>
    <t>d</t>
  </si>
  <si>
    <t>H</t>
  </si>
  <si>
    <t>B</t>
  </si>
  <si>
    <t>rec</t>
  </si>
  <si>
    <t>cm</t>
  </si>
  <si>
    <t>L</t>
  </si>
  <si>
    <t>Materiales</t>
  </si>
  <si>
    <t>f'c</t>
  </si>
  <si>
    <t>f''c</t>
  </si>
  <si>
    <t>FY</t>
  </si>
  <si>
    <t>kg/cm²</t>
  </si>
  <si>
    <t>Flexión</t>
  </si>
  <si>
    <t>Mu</t>
  </si>
  <si>
    <t>T-m</t>
  </si>
  <si>
    <t>Cortante</t>
  </si>
  <si>
    <t>Vu</t>
  </si>
  <si>
    <t>Requerimientos límites</t>
  </si>
  <si>
    <t>As</t>
  </si>
  <si>
    <t>Armado Cortante</t>
  </si>
  <si>
    <t>Fyh</t>
  </si>
  <si>
    <t>s</t>
  </si>
  <si>
    <t>ρ</t>
  </si>
  <si>
    <t>Minimo</t>
  </si>
  <si>
    <t>Máximo</t>
  </si>
  <si>
    <t>Momento</t>
  </si>
  <si>
    <t>S</t>
  </si>
  <si>
    <t>Unidades</t>
  </si>
  <si>
    <t>cm²</t>
  </si>
  <si>
    <t>T</t>
  </si>
  <si>
    <t>Nota:</t>
  </si>
  <si>
    <t>Procedimiento para revisión por cortante</t>
  </si>
  <si>
    <t>As Estribos</t>
  </si>
  <si>
    <t>As Flexión</t>
  </si>
  <si>
    <t>L/H</t>
  </si>
  <si>
    <t>Vcr</t>
  </si>
  <si>
    <t>Cuando L/H &gt; 5</t>
  </si>
  <si>
    <t>Cuando L/H &lt; 4</t>
  </si>
  <si>
    <t>Δx</t>
  </si>
  <si>
    <t>m</t>
  </si>
  <si>
    <t>θ</t>
  </si>
  <si>
    <t>rad</t>
  </si>
  <si>
    <t>Varilla del</t>
  </si>
  <si>
    <t>#3</t>
  </si>
  <si>
    <t>#4</t>
  </si>
  <si>
    <t>#6</t>
  </si>
  <si>
    <t>#5</t>
  </si>
  <si>
    <t>#8</t>
  </si>
  <si>
    <t>#10</t>
  </si>
  <si>
    <t>Cantidad</t>
  </si>
  <si>
    <t>Por lo tanto</t>
  </si>
  <si>
    <t>Separacion
 (cm)</t>
  </si>
  <si>
    <t>Área varilla</t>
  </si>
  <si>
    <t>(3.5-2.5M/V)</t>
  </si>
  <si>
    <t>Cuando 4 &lt; L/H  &lt; 5</t>
  </si>
  <si>
    <t>TR 30x60</t>
  </si>
  <si>
    <t>S (cm)</t>
  </si>
  <si>
    <t>Capacidad (Ton)</t>
  </si>
  <si>
    <t>Eje</t>
  </si>
  <si>
    <t>25X50</t>
  </si>
  <si>
    <t>A</t>
  </si>
  <si>
    <t>inter</t>
  </si>
  <si>
    <t>J</t>
  </si>
  <si>
    <t>20X40</t>
  </si>
  <si>
    <t>4,5</t>
  </si>
  <si>
    <t>6,4</t>
  </si>
  <si>
    <t>4,3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</si>
</sst>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rgb="FF080878"/>
      <name val="Calibri"/>
      <family val="2"/>
      <scheme val="minor"/>
    </font>
    <font>
      <sz val="11"/>
      <color rgb="FF080878"/>
      <name val="Calibri"/>
      <family val="2"/>
      <scheme val="minor"/>
    </font>
    <font>
      <b/>
      <sz val="11"/>
      <color rgb="FF1111F7"/>
      <name val="Calibri"/>
      <family val="2"/>
      <scheme val="minor"/>
    </font>
    <font>
      <sz val="11"/>
      <color rgb="FF1111F7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D"/>
        <bgColor indexed="64"/>
      </patternFill>
    </fill>
  </fills>
  <borders count="19">
    <border>
      <left/>
      <right/>
      <top/>
      <bottom/>
      <diagonal/>
    </border>
    <border>
      <left style="thin">
        <color rgb="FF080878"/>
      </left>
      <right/>
      <top style="thin">
        <color rgb="FF080878"/>
      </top>
      <bottom style="thin">
        <color rgb="FF080878"/>
      </bottom>
      <diagonal/>
    </border>
    <border>
      <left/>
      <right/>
      <top style="thin">
        <color rgb="FF080878"/>
      </top>
      <bottom style="thin">
        <color rgb="FF080878"/>
      </bottom>
      <diagonal/>
    </border>
    <border>
      <left/>
      <right style="thin">
        <color rgb="FF080878"/>
      </right>
      <top style="thin">
        <color rgb="FF080878"/>
      </top>
      <bottom style="thin">
        <color rgb="FF080878"/>
      </bottom>
      <diagonal/>
    </border>
    <border>
      <left style="thin">
        <color rgb="FF080878"/>
      </left>
      <right/>
      <top style="thin">
        <color rgb="FF080878"/>
      </top>
      <bottom/>
      <diagonal/>
    </border>
    <border>
      <left/>
      <right/>
      <top style="thin">
        <color rgb="FF080878"/>
      </top>
      <bottom/>
      <diagonal/>
    </border>
    <border>
      <left/>
      <right style="thin">
        <color rgb="FF080878"/>
      </right>
      <top style="thin">
        <color rgb="FF080878"/>
      </top>
      <bottom/>
      <diagonal/>
    </border>
    <border>
      <left style="thin">
        <color rgb="FF080878"/>
      </left>
      <right/>
      <top/>
      <bottom/>
      <diagonal/>
    </border>
    <border>
      <left/>
      <right style="thin">
        <color rgb="FF080878"/>
      </right>
      <top/>
      <bottom/>
      <diagonal/>
    </border>
    <border>
      <left style="thin">
        <color rgb="FF080878"/>
      </left>
      <right/>
      <top/>
      <bottom style="thin">
        <color rgb="FF080878"/>
      </bottom>
      <diagonal/>
    </border>
    <border>
      <left/>
      <right/>
      <top/>
      <bottom style="thin">
        <color rgb="FF080878"/>
      </bottom>
      <diagonal/>
    </border>
    <border>
      <left/>
      <right style="thin">
        <color rgb="FF080878"/>
      </right>
      <top/>
      <bottom style="thin">
        <color rgb="FF080878"/>
      </bottom>
      <diagonal/>
    </border>
    <border>
      <left/>
      <right/>
      <top style="thin">
        <color rgb="FF6E6EFA"/>
      </top>
      <bottom/>
      <diagonal/>
    </border>
    <border>
      <left style="thin">
        <color rgb="FF6E6EFA"/>
      </left>
      <right/>
      <top/>
      <bottom/>
      <diagonal/>
    </border>
    <border>
      <left style="thin">
        <color rgb="FF6E6EFA"/>
      </left>
      <right/>
      <top/>
      <bottom style="thin">
        <color rgb="FF6E6EFA"/>
      </bottom>
      <diagonal/>
    </border>
    <border>
      <left/>
      <right style="thin">
        <color rgb="FF6E6EFA"/>
      </right>
      <top/>
      <bottom style="thin">
        <color rgb="FF6E6EFA"/>
      </bottom>
      <diagonal/>
    </border>
    <border>
      <left/>
      <right style="thin">
        <color rgb="FF6E6EFA"/>
      </right>
      <top/>
      <bottom/>
      <diagonal/>
    </border>
    <border>
      <left style="thin">
        <color rgb="FF6E6EFA"/>
      </left>
      <right/>
      <top style="thin">
        <color rgb="FF6E6EFA"/>
      </top>
      <bottom style="thin">
        <color rgb="FF6E6EFA"/>
      </bottom>
      <diagonal/>
    </border>
    <border>
      <left/>
      <right style="thin">
        <color rgb="FF6E6EFA"/>
      </right>
      <top style="thin">
        <color rgb="FF6E6EFA"/>
      </top>
      <bottom style="thin">
        <color rgb="FF6E6EFA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5" fillId="0" borderId="4" xfId="0" applyFont="1" applyBorder="1"/>
    <xf numFmtId="0" fontId="4" fillId="0" borderId="5" xfId="0" applyFont="1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/>
    <xf numFmtId="0" fontId="0" fillId="0" borderId="7" xfId="0" applyBorder="1"/>
    <xf numFmtId="0" fontId="4" fillId="2" borderId="0" xfId="0" applyFont="1" applyFill="1" applyBorder="1"/>
    <xf numFmtId="0" fontId="0" fillId="0" borderId="0" xfId="0" applyBorder="1"/>
    <xf numFmtId="0" fontId="0" fillId="0" borderId="8" xfId="0" applyBorder="1"/>
    <xf numFmtId="2" fontId="0" fillId="0" borderId="0" xfId="0" applyNumberFormat="1" applyBorder="1"/>
    <xf numFmtId="0" fontId="0" fillId="0" borderId="9" xfId="0" applyBorder="1"/>
    <xf numFmtId="0" fontId="4" fillId="2" borderId="10" xfId="0" applyFont="1" applyFill="1" applyBorder="1"/>
    <xf numFmtId="0" fontId="0" fillId="0" borderId="10" xfId="0" applyBorder="1"/>
    <xf numFmtId="0" fontId="0" fillId="0" borderId="11" xfId="0" applyBorder="1"/>
    <xf numFmtId="0" fontId="2" fillId="0" borderId="7" xfId="0" applyFont="1" applyBorder="1"/>
    <xf numFmtId="0" fontId="0" fillId="0" borderId="4" xfId="0" applyBorder="1"/>
    <xf numFmtId="0" fontId="5" fillId="0" borderId="6" xfId="0" applyFont="1" applyBorder="1"/>
    <xf numFmtId="164" fontId="0" fillId="0" borderId="0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2" fontId="4" fillId="2" borderId="0" xfId="0" applyNumberFormat="1" applyFont="1" applyFill="1" applyBorder="1"/>
    <xf numFmtId="0" fontId="0" fillId="0" borderId="12" xfId="0" applyBorder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0" fontId="7" fillId="0" borderId="0" xfId="1" applyFill="1" applyBorder="1"/>
    <xf numFmtId="0" fontId="7" fillId="0" borderId="0" xfId="1"/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80878"/>
      <color rgb="FF1111F7"/>
      <color rgb="FF6E6EFA"/>
      <color rgb="FFD3D3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542925</xdr:colOff>
      <xdr:row>10</xdr:row>
      <xdr:rowOff>95250</xdr:rowOff>
    </xdr:from>
    <xdr:to>
      <xdr:col>12</xdr:col>
      <xdr:colOff>422910</xdr:colOff>
      <xdr:row>17</xdr:row>
      <xdr:rowOff>153803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2105025"/>
          <a:ext cx="1438275" cy="1582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390939</xdr:colOff>
      <xdr:row>20</xdr:row>
      <xdr:rowOff>165652</xdr:rowOff>
    </xdr:from>
    <xdr:to>
      <xdr:col>13</xdr:col>
      <xdr:colOff>569844</xdr:colOff>
      <xdr:row>24</xdr:row>
      <xdr:rowOff>55423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E6EB12-8A99-4AE6-961F-0A2BCCB22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4626" y="4167809"/>
          <a:ext cx="4194314" cy="810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45"/>
  <sheetViews>
    <sheetView showGridLines="0" tabSelected="1" zoomScale="115" zoomScaleNormal="115" workbookViewId="0">
      <selection activeCell="H5" sqref="H5"/>
    </sheetView>
  </sheetViews>
  <sheetFormatPr defaultColWidth="11.5546875" defaultRowHeight="14.4" x14ac:dyDescent="0.3"/>
  <cols>
    <col min="2" max="2" width="12" bestFit="1" customWidth="1"/>
    <col min="3" max="3" width="11.88671875" bestFit="1" customWidth="1"/>
    <col min="7" max="7" width="12.5546875" customWidth="1"/>
    <col min="9" max="9" width="11.88671875" bestFit="1" customWidth="1"/>
    <col min="11" max="11" width="11.88671875" bestFit="1" customWidth="1"/>
  </cols>
  <sheetData>
    <row r="1" spans="1:16" ht="23.4" x14ac:dyDescent="0.45">
      <c r="A1" s="1" t="s">
        <v>1</v>
      </c>
    </row>
    <row r="3" spans="1:16" x14ac:dyDescent="0.3">
      <c r="A3" s="45" t="s">
        <v>0</v>
      </c>
      <c r="B3" s="46"/>
      <c r="C3" s="46"/>
      <c r="D3" s="46"/>
      <c r="E3" s="46"/>
      <c r="F3" s="46"/>
      <c r="G3" s="46"/>
      <c r="H3" s="46"/>
      <c r="I3" s="47"/>
      <c r="J3" s="45" t="s">
        <v>19</v>
      </c>
      <c r="K3" s="46"/>
      <c r="L3" s="46"/>
      <c r="M3" s="47"/>
    </row>
    <row r="4" spans="1:16" x14ac:dyDescent="0.3">
      <c r="A4" s="2" t="s">
        <v>2</v>
      </c>
      <c r="B4" s="3" t="s">
        <v>57</v>
      </c>
      <c r="C4" s="6"/>
      <c r="D4" s="2" t="s">
        <v>9</v>
      </c>
      <c r="E4" s="4"/>
      <c r="F4" s="6"/>
      <c r="G4" s="2" t="s">
        <v>21</v>
      </c>
      <c r="H4" s="4"/>
      <c r="I4" s="6"/>
      <c r="J4" s="17"/>
      <c r="K4" s="5" t="s">
        <v>25</v>
      </c>
      <c r="L4" s="5" t="s">
        <v>26</v>
      </c>
      <c r="M4" s="18" t="s">
        <v>29</v>
      </c>
      <c r="P4" s="41"/>
    </row>
    <row r="5" spans="1:16" x14ac:dyDescent="0.3">
      <c r="A5" s="7" t="s">
        <v>4</v>
      </c>
      <c r="B5" s="8">
        <v>30</v>
      </c>
      <c r="C5" s="10" t="s">
        <v>7</v>
      </c>
      <c r="D5" s="7" t="s">
        <v>10</v>
      </c>
      <c r="E5" s="8">
        <v>250</v>
      </c>
      <c r="F5" s="10" t="s">
        <v>13</v>
      </c>
      <c r="G5" s="7" t="s">
        <v>34</v>
      </c>
      <c r="H5" s="32">
        <f>+(2/8*2.54)^2*PI()/4*2</f>
        <v>0.63338434887187212</v>
      </c>
      <c r="I5" s="10" t="s">
        <v>30</v>
      </c>
      <c r="J5" s="16" t="s">
        <v>24</v>
      </c>
      <c r="K5" s="21">
        <f>0.7*SQRT(f_c)/FY</f>
        <v>2.6352313834736491E-3</v>
      </c>
      <c r="L5" s="21">
        <f>+f__c/FY*(6000*0.85)/(FY+6000)*0.9</f>
        <v>2.2767857142857145E-2</v>
      </c>
      <c r="M5" s="25"/>
      <c r="P5" s="42"/>
    </row>
    <row r="6" spans="1:16" x14ac:dyDescent="0.3">
      <c r="A6" s="7" t="s">
        <v>5</v>
      </c>
      <c r="B6" s="8">
        <v>15</v>
      </c>
      <c r="C6" s="10" t="s">
        <v>7</v>
      </c>
      <c r="D6" s="7" t="s">
        <v>11</v>
      </c>
      <c r="E6" s="9">
        <f>0.85*E5</f>
        <v>212.5</v>
      </c>
      <c r="F6" s="10" t="s">
        <v>13</v>
      </c>
      <c r="G6" s="7" t="s">
        <v>22</v>
      </c>
      <c r="H6" s="8">
        <f>+IF(Ash&lt;1.42,2530,4200)</f>
        <v>2530</v>
      </c>
      <c r="I6" s="10" t="s">
        <v>13</v>
      </c>
      <c r="J6" s="7" t="s">
        <v>20</v>
      </c>
      <c r="K6" s="22">
        <f>+K5*B*d</f>
        <v>1.0672687103068279</v>
      </c>
      <c r="L6" s="22">
        <f>+L5*B*d</f>
        <v>9.2209821428571441</v>
      </c>
      <c r="M6" s="25" t="s">
        <v>30</v>
      </c>
      <c r="P6" s="42"/>
    </row>
    <row r="7" spans="1:16" x14ac:dyDescent="0.3">
      <c r="A7" s="7" t="s">
        <v>3</v>
      </c>
      <c r="B7" s="9">
        <f>+B5-B8</f>
        <v>27</v>
      </c>
      <c r="C7" s="10" t="s">
        <v>7</v>
      </c>
      <c r="D7" s="7" t="s">
        <v>12</v>
      </c>
      <c r="E7" s="8">
        <v>4200</v>
      </c>
      <c r="F7" s="10" t="s">
        <v>13</v>
      </c>
      <c r="G7" s="7" t="s">
        <v>35</v>
      </c>
      <c r="H7" s="32">
        <f>2*(3/8*2.54)^2*PI()/4</f>
        <v>1.4251147849617123</v>
      </c>
      <c r="I7" s="10" t="s">
        <v>30</v>
      </c>
      <c r="J7" s="7" t="s">
        <v>28</v>
      </c>
      <c r="K7" s="23">
        <v>6.5</v>
      </c>
      <c r="L7" s="23">
        <f>+d/2</f>
        <v>13.5</v>
      </c>
      <c r="M7" s="25" t="s">
        <v>7</v>
      </c>
    </row>
    <row r="8" spans="1:16" x14ac:dyDescent="0.3">
      <c r="A8" s="7" t="s">
        <v>6</v>
      </c>
      <c r="B8" s="8">
        <v>3</v>
      </c>
      <c r="C8" s="10" t="s">
        <v>7</v>
      </c>
      <c r="D8" s="7"/>
      <c r="E8" s="9"/>
      <c r="F8" s="10"/>
      <c r="G8" s="16" t="s">
        <v>42</v>
      </c>
      <c r="H8" s="11">
        <f>+PI()/2</f>
        <v>1.5707963267948966</v>
      </c>
      <c r="I8" s="10" t="s">
        <v>43</v>
      </c>
      <c r="J8" s="7" t="s">
        <v>27</v>
      </c>
      <c r="K8" s="22">
        <f>0.9*+K6*FY*d*(1-0.5*K5*FY/f__c)/100000</f>
        <v>1.0608877692685603</v>
      </c>
      <c r="L8" s="22">
        <f>0.9*L6*FY*d*(1-0.5*L5*FY/f__c)/100000</f>
        <v>7.2934741406250012</v>
      </c>
      <c r="M8" s="25" t="s">
        <v>16</v>
      </c>
    </row>
    <row r="9" spans="1:16" x14ac:dyDescent="0.3">
      <c r="A9" s="12" t="s">
        <v>8</v>
      </c>
      <c r="B9" s="13">
        <v>10000</v>
      </c>
      <c r="C9" s="15" t="s">
        <v>7</v>
      </c>
      <c r="D9" s="12"/>
      <c r="E9" s="14"/>
      <c r="F9" s="15"/>
      <c r="G9" s="12"/>
      <c r="H9" s="14"/>
      <c r="I9" s="15"/>
      <c r="J9" s="12" t="s">
        <v>17</v>
      </c>
      <c r="K9" s="40">
        <f>+C34</f>
        <v>1.2985374878506517</v>
      </c>
      <c r="L9" s="24">
        <f>0.75*2.5*SQRT(f_c)*B*d/1000</f>
        <v>12.006772990951816</v>
      </c>
      <c r="M9" s="26" t="s">
        <v>31</v>
      </c>
    </row>
    <row r="11" spans="1:16" x14ac:dyDescent="0.3">
      <c r="A11" s="45" t="s">
        <v>14</v>
      </c>
      <c r="B11" s="46"/>
      <c r="C11" s="47"/>
      <c r="D11" s="45" t="s">
        <v>14</v>
      </c>
      <c r="E11" s="46"/>
      <c r="F11" s="46"/>
      <c r="G11" s="47"/>
      <c r="H11" s="45" t="s">
        <v>17</v>
      </c>
      <c r="I11" s="46"/>
      <c r="J11" s="47"/>
    </row>
    <row r="12" spans="1:16" ht="28.8" x14ac:dyDescent="0.3">
      <c r="A12" s="17"/>
      <c r="D12" s="31" t="s">
        <v>44</v>
      </c>
      <c r="E12" s="30" t="s">
        <v>54</v>
      </c>
      <c r="F12" s="30" t="s">
        <v>51</v>
      </c>
      <c r="G12" s="29" t="s">
        <v>53</v>
      </c>
      <c r="J12" s="6"/>
      <c r="K12" s="7"/>
    </row>
    <row r="13" spans="1:16" x14ac:dyDescent="0.3">
      <c r="A13" s="7" t="s">
        <v>15</v>
      </c>
      <c r="B13" s="8">
        <v>1</v>
      </c>
      <c r="C13" s="10" t="s">
        <v>16</v>
      </c>
      <c r="D13" s="7" t="s">
        <v>45</v>
      </c>
      <c r="E13" s="22">
        <f>(3/8*2.54)^2/4*PI()</f>
        <v>0.71255739248085614</v>
      </c>
      <c r="F13" s="22">
        <f t="shared" ref="F13:F18" si="0">+$B$14/E13</f>
        <v>1.4978003478302298</v>
      </c>
      <c r="G13" s="27">
        <f t="shared" ref="G13:G18" si="1">+B/F13</f>
        <v>10.014685883689083</v>
      </c>
      <c r="H13" s="7" t="s">
        <v>18</v>
      </c>
      <c r="I13" s="8">
        <v>3.35</v>
      </c>
      <c r="J13" s="10" t="s">
        <v>31</v>
      </c>
    </row>
    <row r="14" spans="1:16" x14ac:dyDescent="0.3">
      <c r="A14" s="7" t="s">
        <v>20</v>
      </c>
      <c r="B14" s="11">
        <f>MAX(B*d*f__c/FY*(1-SQRT(1-2*B13*10^5/(0.9*B*d^2*f__c))),K6)</f>
        <v>1.0672687103068279</v>
      </c>
      <c r="C14" s="10" t="s">
        <v>30</v>
      </c>
      <c r="D14" s="7" t="s">
        <v>46</v>
      </c>
      <c r="E14" s="22">
        <f>(4/8*2.54)^2/4*PI()</f>
        <v>1.2667686977437442</v>
      </c>
      <c r="F14" s="22">
        <f t="shared" si="0"/>
        <v>0.84251269565450426</v>
      </c>
      <c r="G14" s="27">
        <f t="shared" si="1"/>
        <v>17.803886015447258</v>
      </c>
      <c r="H14" s="7" t="s">
        <v>37</v>
      </c>
      <c r="I14" s="11">
        <f>+C34</f>
        <v>1.2985374878506517</v>
      </c>
      <c r="J14" s="10" t="s">
        <v>31</v>
      </c>
    </row>
    <row r="15" spans="1:16" x14ac:dyDescent="0.3">
      <c r="A15" s="16" t="s">
        <v>24</v>
      </c>
      <c r="B15" s="19">
        <f>+B14/(B*d)</f>
        <v>2.6352313834736491E-3</v>
      </c>
      <c r="C15" s="10"/>
      <c r="D15" s="7" t="s">
        <v>48</v>
      </c>
      <c r="E15" s="22">
        <f>(5/8*2.54)^2/4*PI()</f>
        <v>1.9793260902246004</v>
      </c>
      <c r="F15" s="22">
        <f t="shared" si="0"/>
        <v>0.53920812521888273</v>
      </c>
      <c r="G15" s="27">
        <f t="shared" si="1"/>
        <v>27.818571899136341</v>
      </c>
      <c r="H15" s="7" t="s">
        <v>23</v>
      </c>
      <c r="I15" s="11">
        <f>0.75*Ash*Fyh*d*(SIN(θ)+COS(θ))/((I13-I14)*1000)</f>
        <v>15.817916955050748</v>
      </c>
      <c r="J15" s="10" t="s">
        <v>7</v>
      </c>
    </row>
    <row r="16" spans="1:16" x14ac:dyDescent="0.3">
      <c r="A16" s="16" t="s">
        <v>32</v>
      </c>
      <c r="B16" s="20" t="str">
        <f>+IF(B13&lt;K8,"Mínimo",IF(B13&gt;L8,"Cambiar","Ok"))</f>
        <v>Mínimo</v>
      </c>
      <c r="C16" s="10"/>
      <c r="D16" s="7" t="s">
        <v>47</v>
      </c>
      <c r="E16" s="22">
        <f>(6/8*2.54)^2/4*PI()</f>
        <v>2.8502295699234246</v>
      </c>
      <c r="F16" s="22">
        <f t="shared" si="0"/>
        <v>0.37445008695755744</v>
      </c>
      <c r="G16" s="27">
        <f t="shared" si="1"/>
        <v>40.058743534756331</v>
      </c>
      <c r="H16" s="7" t="s">
        <v>32</v>
      </c>
      <c r="I16" s="20" t="str">
        <f>+IF(I13&gt;L9,"Cambiar",IF(C22&lt;5,"Aperaltada","Ok"))</f>
        <v>Ok</v>
      </c>
      <c r="J16" s="10"/>
    </row>
    <row r="17" spans="1:10" x14ac:dyDescent="0.3">
      <c r="A17" s="7"/>
      <c r="B17" s="9"/>
      <c r="C17" s="10"/>
      <c r="D17" s="7" t="s">
        <v>49</v>
      </c>
      <c r="E17" s="22">
        <f>(8/8*2.54)^2/4*PI()</f>
        <v>5.0670747909749769</v>
      </c>
      <c r="F17" s="22">
        <f t="shared" si="0"/>
        <v>0.21062817391362607</v>
      </c>
      <c r="G17" s="27">
        <f t="shared" si="1"/>
        <v>71.215544061789032</v>
      </c>
      <c r="H17" s="7"/>
      <c r="I17" s="9">
        <f>1.27*2</f>
        <v>2.54</v>
      </c>
      <c r="J17" s="10"/>
    </row>
    <row r="18" spans="1:10" x14ac:dyDescent="0.3">
      <c r="A18" s="12"/>
      <c r="B18" s="14"/>
      <c r="C18" s="15"/>
      <c r="D18" s="12" t="s">
        <v>50</v>
      </c>
      <c r="E18" s="24">
        <f>(10/8*2.54)^2/4*PI()</f>
        <v>7.9173043608984015</v>
      </c>
      <c r="F18" s="24">
        <f t="shared" si="0"/>
        <v>0.13480203130472068</v>
      </c>
      <c r="G18" s="28">
        <f t="shared" si="1"/>
        <v>111.27428759654536</v>
      </c>
      <c r="H18" s="12"/>
      <c r="I18" s="14"/>
      <c r="J18" s="15"/>
    </row>
    <row r="20" spans="1:10" x14ac:dyDescent="0.3">
      <c r="I20">
        <f>3/8*2.54</f>
        <v>0.95250000000000001</v>
      </c>
    </row>
    <row r="21" spans="1:10" x14ac:dyDescent="0.3">
      <c r="A21" s="45" t="s">
        <v>33</v>
      </c>
      <c r="B21" s="46"/>
      <c r="C21" s="46"/>
      <c r="D21" s="47"/>
      <c r="F21" s="43" t="s">
        <v>17</v>
      </c>
      <c r="G21" s="44"/>
    </row>
    <row r="22" spans="1:10" ht="28.8" x14ac:dyDescent="0.3">
      <c r="A22" s="48" t="s">
        <v>36</v>
      </c>
      <c r="B22" s="49"/>
      <c r="C22" s="49">
        <f>+L/H</f>
        <v>333.33333333333331</v>
      </c>
      <c r="D22" s="50"/>
      <c r="F22" s="34" t="s">
        <v>58</v>
      </c>
      <c r="G22" s="35" t="s">
        <v>59</v>
      </c>
    </row>
    <row r="23" spans="1:10" x14ac:dyDescent="0.3">
      <c r="A23" s="55" t="s">
        <v>38</v>
      </c>
      <c r="B23" s="56"/>
      <c r="C23" s="56"/>
      <c r="D23" s="57"/>
      <c r="F23" s="36">
        <v>5</v>
      </c>
      <c r="G23" s="37">
        <f t="shared" ref="G23:G29" si="2">(0.75*Ash*Fyh*d)/F23/1000+$C$34</f>
        <v>7.7885102185662891</v>
      </c>
    </row>
    <row r="24" spans="1:10" x14ac:dyDescent="0.3">
      <c r="A24" s="51" t="s">
        <v>24</v>
      </c>
      <c r="B24" s="52"/>
      <c r="C24" s="63">
        <f>+As_Flexión/(B*d)</f>
        <v>3.5188019381770675E-3</v>
      </c>
      <c r="D24" s="64"/>
      <c r="F24" s="36">
        <v>10</v>
      </c>
      <c r="G24" s="37">
        <f t="shared" si="2"/>
        <v>4.5435238532084705</v>
      </c>
    </row>
    <row r="25" spans="1:10" x14ac:dyDescent="0.3">
      <c r="A25" s="53" t="s">
        <v>37</v>
      </c>
      <c r="B25" s="54"/>
      <c r="C25" s="61">
        <f>+IF(C24&lt;0.015,0.75*(0.2+20*C24)*SQRT(f_c)*B*d/1000,0.75*0.5*SQRT(f_c)*B*d/1000)</f>
        <v>1.2985374878506517</v>
      </c>
      <c r="D25" s="62"/>
      <c r="F25" s="36">
        <v>15</v>
      </c>
      <c r="G25" s="37">
        <f t="shared" si="2"/>
        <v>3.4618617314225304</v>
      </c>
    </row>
    <row r="26" spans="1:10" x14ac:dyDescent="0.3">
      <c r="A26" s="55" t="s">
        <v>39</v>
      </c>
      <c r="B26" s="56"/>
      <c r="C26" s="56"/>
      <c r="D26" s="6"/>
      <c r="F26" s="36">
        <v>20</v>
      </c>
      <c r="G26" s="37">
        <f t="shared" si="2"/>
        <v>2.9210306705295608</v>
      </c>
    </row>
    <row r="27" spans="1:10" x14ac:dyDescent="0.3">
      <c r="A27" s="58" t="s">
        <v>55</v>
      </c>
      <c r="B27" s="59"/>
      <c r="C27" s="59">
        <f>MAX(3.5-2.5*B13/I13,1)</f>
        <v>2.7537313432835822</v>
      </c>
      <c r="D27" s="60"/>
      <c r="F27" s="36">
        <v>25</v>
      </c>
      <c r="G27" s="37">
        <f t="shared" si="2"/>
        <v>2.5965320339937792</v>
      </c>
    </row>
    <row r="28" spans="1:10" x14ac:dyDescent="0.3">
      <c r="A28" s="65" t="s">
        <v>37</v>
      </c>
      <c r="B28" s="66"/>
      <c r="C28" s="61">
        <f>0.75*C27*0.5*SQRT(f_c)*B*d/1000</f>
        <v>6.6126854233749537</v>
      </c>
      <c r="D28" s="62"/>
      <c r="F28" s="36">
        <v>30</v>
      </c>
      <c r="G28" s="37">
        <f t="shared" si="2"/>
        <v>2.3801996096365912</v>
      </c>
    </row>
    <row r="29" spans="1:10" x14ac:dyDescent="0.3">
      <c r="A29" s="55" t="s">
        <v>56</v>
      </c>
      <c r="B29" s="56"/>
      <c r="C29" s="56"/>
      <c r="D29" s="57"/>
      <c r="F29" s="38">
        <v>40</v>
      </c>
      <c r="G29" s="39">
        <f t="shared" si="2"/>
        <v>2.1097840791901064</v>
      </c>
    </row>
    <row r="30" spans="1:10" x14ac:dyDescent="0.3">
      <c r="A30" s="51" t="s">
        <v>40</v>
      </c>
      <c r="B30" s="52"/>
      <c r="C30" s="59">
        <f>+C22-4</f>
        <v>329.33333333333331</v>
      </c>
      <c r="D30" s="60"/>
    </row>
    <row r="31" spans="1:10" x14ac:dyDescent="0.3">
      <c r="A31" s="51" t="s">
        <v>41</v>
      </c>
      <c r="B31" s="52"/>
      <c r="C31" s="71">
        <f>-C28+C25</f>
        <v>-5.3141479355243018</v>
      </c>
      <c r="D31" s="72"/>
    </row>
    <row r="32" spans="1:10" x14ac:dyDescent="0.3">
      <c r="A32" s="53" t="s">
        <v>37</v>
      </c>
      <c r="B32" s="54"/>
      <c r="C32" s="61">
        <f>+C28+C31*C30</f>
        <v>-1743.5133680092952</v>
      </c>
      <c r="D32" s="62"/>
    </row>
    <row r="33" spans="1:4" x14ac:dyDescent="0.3">
      <c r="A33" s="73" t="s">
        <v>52</v>
      </c>
      <c r="B33" s="74"/>
      <c r="C33" s="74"/>
      <c r="D33" s="75"/>
    </row>
    <row r="34" spans="1:4" x14ac:dyDescent="0.3">
      <c r="A34" s="67" t="s">
        <v>37</v>
      </c>
      <c r="B34" s="68"/>
      <c r="C34" s="69">
        <f>+IF(C22&lt;4,C28,IF(C22&lt;5,C32,C25))</f>
        <v>1.2985374878506517</v>
      </c>
      <c r="D34" s="70"/>
    </row>
    <row r="37" spans="1:4" x14ac:dyDescent="0.3">
      <c r="C37" s="9"/>
    </row>
    <row r="39" spans="1:4" x14ac:dyDescent="0.3">
      <c r="C39" s="9"/>
    </row>
    <row r="41" spans="1:4" x14ac:dyDescent="0.3">
      <c r="C41" s="9"/>
    </row>
    <row r="42" spans="1:4" x14ac:dyDescent="0.3">
      <c r="C42" s="9"/>
    </row>
    <row r="43" spans="1:4" x14ac:dyDescent="0.3">
      <c r="C43" s="9"/>
    </row>
    <row r="44" spans="1:4" x14ac:dyDescent="0.3">
      <c r="C44" s="9"/>
    </row>
    <row r="45" spans="1:4" x14ac:dyDescent="0.3">
      <c r="B45" s="33"/>
    </row>
  </sheetData>
  <mergeCells count="29">
    <mergeCell ref="A34:B34"/>
    <mergeCell ref="C34:D34"/>
    <mergeCell ref="C32:D32"/>
    <mergeCell ref="C31:D31"/>
    <mergeCell ref="C30:D30"/>
    <mergeCell ref="A33:D33"/>
    <mergeCell ref="C28:D28"/>
    <mergeCell ref="A29:D29"/>
    <mergeCell ref="A30:B30"/>
    <mergeCell ref="A31:B31"/>
    <mergeCell ref="A32:B32"/>
    <mergeCell ref="A28:B28"/>
    <mergeCell ref="A24:B24"/>
    <mergeCell ref="A25:B25"/>
    <mergeCell ref="A23:D23"/>
    <mergeCell ref="A26:C26"/>
    <mergeCell ref="A27:B27"/>
    <mergeCell ref="C27:D27"/>
    <mergeCell ref="C25:D25"/>
    <mergeCell ref="C24:D24"/>
    <mergeCell ref="F21:G21"/>
    <mergeCell ref="A3:I3"/>
    <mergeCell ref="J3:M3"/>
    <mergeCell ref="A21:D21"/>
    <mergeCell ref="A22:B22"/>
    <mergeCell ref="C22:D22"/>
    <mergeCell ref="A11:C11"/>
    <mergeCell ref="D11:G11"/>
    <mergeCell ref="H11:J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120D-1C0C-42E7-8C63-E8513669B948}">
  <sheetPr codeName="Sheet1"/>
  <dimension ref="A1:G13"/>
  <sheetViews>
    <sheetView workbookViewId="0">
      <selection activeCell="K13" sqref="K13"/>
    </sheetView>
  </sheetViews>
  <sheetFormatPr defaultRowHeight="14.4" x14ac:dyDescent="0.3"/>
  <sheetData>
    <row r="1" spans="1:7" x14ac:dyDescent="0.3">
      <c r="A1" t="s">
        <v>60</v>
      </c>
      <c r="C1">
        <v>3</v>
      </c>
      <c r="D1">
        <v>4</v>
      </c>
      <c r="E1">
        <v>5</v>
      </c>
      <c r="F1">
        <v>6</v>
      </c>
      <c r="G1" t="s">
        <v>8</v>
      </c>
    </row>
    <row r="2" spans="1:7" x14ac:dyDescent="0.3">
      <c r="A2">
        <v>2</v>
      </c>
      <c r="B2" t="s">
        <v>61</v>
      </c>
      <c r="F2" t="s">
        <v>68</v>
      </c>
      <c r="G2">
        <v>2</v>
      </c>
    </row>
    <row r="3" spans="1:7" x14ac:dyDescent="0.3">
      <c r="A3">
        <v>3</v>
      </c>
      <c r="B3" t="s">
        <v>61</v>
      </c>
      <c r="C3">
        <v>2</v>
      </c>
      <c r="F3" t="s">
        <v>67</v>
      </c>
      <c r="G3">
        <v>3</v>
      </c>
    </row>
    <row r="4" spans="1:7" x14ac:dyDescent="0.3">
      <c r="A4">
        <v>4</v>
      </c>
      <c r="B4" t="s">
        <v>61</v>
      </c>
      <c r="C4">
        <v>2</v>
      </c>
      <c r="F4" t="s">
        <v>67</v>
      </c>
      <c r="G4">
        <v>3</v>
      </c>
    </row>
    <row r="5" spans="1:7" x14ac:dyDescent="0.3">
      <c r="A5">
        <v>6</v>
      </c>
      <c r="B5" t="s">
        <v>61</v>
      </c>
      <c r="F5" t="s">
        <v>68</v>
      </c>
      <c r="G5">
        <v>2</v>
      </c>
    </row>
    <row r="7" spans="1:7" x14ac:dyDescent="0.3">
      <c r="A7" t="s">
        <v>62</v>
      </c>
      <c r="B7" t="s">
        <v>65</v>
      </c>
      <c r="D7">
        <v>3</v>
      </c>
      <c r="G7">
        <v>2</v>
      </c>
    </row>
    <row r="8" spans="1:7" x14ac:dyDescent="0.3">
      <c r="A8" t="s">
        <v>63</v>
      </c>
      <c r="B8" t="s">
        <v>61</v>
      </c>
      <c r="C8">
        <v>2</v>
      </c>
      <c r="F8" t="s">
        <v>66</v>
      </c>
      <c r="G8">
        <v>3</v>
      </c>
    </row>
    <row r="9" spans="1:7" x14ac:dyDescent="0.3">
      <c r="A9" t="s">
        <v>64</v>
      </c>
      <c r="B9" t="s">
        <v>65</v>
      </c>
      <c r="D9">
        <v>3</v>
      </c>
      <c r="G9">
        <v>2</v>
      </c>
    </row>
    <row r="13" spans="1:7" x14ac:dyDescent="0.3">
      <c r="A13" t="s">
        <v>64</v>
      </c>
      <c r="B13" t="s">
        <v>65</v>
      </c>
      <c r="F13">
        <v>3</v>
      </c>
      <c r="G1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Hoja1</vt:lpstr>
      <vt:lpstr>Sheet1</vt:lpstr>
      <vt:lpstr>As_Flexión</vt:lpstr>
      <vt:lpstr>Ash</vt:lpstr>
      <vt:lpstr>B</vt:lpstr>
      <vt:lpstr>d</vt:lpstr>
      <vt:lpstr>f__c</vt:lpstr>
      <vt:lpstr>f_c</vt:lpstr>
      <vt:lpstr>FY</vt:lpstr>
      <vt:lpstr>Fyh</vt:lpstr>
      <vt:lpstr>H</vt:lpstr>
      <vt:lpstr>L</vt:lpstr>
      <vt:lpstr>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Isaac Rosales</cp:lastModifiedBy>
  <dcterms:created xsi:type="dcterms:W3CDTF">2019-10-01T17:38:42Z</dcterms:created>
  <dcterms:modified xsi:type="dcterms:W3CDTF">2021-08-03T18:57:34Z</dcterms:modified>
</cp:coreProperties>
</file>