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Intellectual Content\GMT\Gig-Econ\Strategic Programmer\Fintech\Trading &amp; Investments\Funds\MMF\"/>
    </mc:Choice>
  </mc:AlternateContent>
  <xr:revisionPtr revIDLastSave="0" documentId="13_ncr:1_{F231C888-277A-483E-AF4D-10E004BF17C7}" xr6:coauthVersionLast="46" xr6:coauthVersionMax="46" xr10:uidLastSave="{00000000-0000-0000-0000-000000000000}"/>
  <bookViews>
    <workbookView xWindow="20370" yWindow="-120" windowWidth="15600" windowHeight="11760" firstSheet="4" activeTab="5" xr2:uid="{00000000-000D-0000-FFFF-FFFF00000000}"/>
  </bookViews>
  <sheets>
    <sheet name="Historical MMF performance" sheetId="6" r:id="rId1"/>
    <sheet name="Cytonn vs SC shillingi Fund" sheetId="1" r:id="rId2"/>
    <sheet name="Investment Profile" sheetId="2" r:id="rId3"/>
    <sheet name="Case MMF performance Analysis" sheetId="7" r:id="rId4"/>
    <sheet name="Paybill Charges" sheetId="4" r:id="rId5"/>
    <sheet name="Case Assumptions" sheetId="5" r:id="rId6"/>
    <sheet name="REFERENCES" sheetId="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4" i="7"/>
  <c r="C82" i="7"/>
  <c r="K10" i="7"/>
  <c r="B9" i="7"/>
  <c r="C9" i="7" s="1"/>
  <c r="B5" i="7"/>
  <c r="C5" i="7" s="1"/>
  <c r="B7" i="7"/>
  <c r="C7" i="7" s="1"/>
  <c r="B11" i="7"/>
  <c r="C11" i="7" s="1"/>
  <c r="B13" i="7"/>
  <c r="C13" i="7" s="1"/>
  <c r="B15" i="7"/>
  <c r="C15" i="7" s="1"/>
  <c r="B17" i="7"/>
  <c r="C17" i="7" s="1"/>
  <c r="B19" i="7"/>
  <c r="C19" i="7" s="1"/>
  <c r="B21" i="7"/>
  <c r="C21" i="7" s="1"/>
  <c r="B23" i="7"/>
  <c r="C23" i="7" s="1"/>
  <c r="B25" i="7"/>
  <c r="C25" i="7" s="1"/>
  <c r="B27" i="7"/>
  <c r="C27" i="7" s="1"/>
  <c r="B29" i="7"/>
  <c r="C29" i="7" s="1"/>
  <c r="B31" i="7"/>
  <c r="C31" i="7" s="1"/>
  <c r="B33" i="7"/>
  <c r="C33" i="7" s="1"/>
  <c r="B35" i="7"/>
  <c r="C35" i="7" s="1"/>
  <c r="B37" i="7"/>
  <c r="C37" i="7" s="1"/>
  <c r="B39" i="7"/>
  <c r="C39" i="7" s="1"/>
  <c r="B41" i="7"/>
  <c r="C41" i="7" s="1"/>
  <c r="B43" i="7"/>
  <c r="C43" i="7" s="1"/>
  <c r="B45" i="7"/>
  <c r="C45" i="7" s="1"/>
  <c r="B47" i="7"/>
  <c r="C47" i="7" s="1"/>
  <c r="B49" i="7"/>
  <c r="C49" i="7" s="1"/>
  <c r="B51" i="7"/>
  <c r="C51" i="7" s="1"/>
  <c r="B53" i="7"/>
  <c r="C53" i="7" s="1"/>
  <c r="B55" i="7"/>
  <c r="C55" i="7" s="1"/>
  <c r="B57" i="7"/>
  <c r="C57" i="7" s="1"/>
  <c r="B59" i="7"/>
  <c r="C59" i="7" s="1"/>
  <c r="B61" i="7"/>
  <c r="C61" i="7" s="1"/>
  <c r="B63" i="7"/>
  <c r="C63" i="7" s="1"/>
  <c r="B65" i="7"/>
  <c r="C65" i="7" s="1"/>
  <c r="B67" i="7"/>
  <c r="C67" i="7" s="1"/>
  <c r="B69" i="7"/>
  <c r="C69" i="7" s="1"/>
  <c r="B71" i="7"/>
  <c r="C71" i="7" s="1"/>
  <c r="B73" i="7"/>
  <c r="C73" i="7" s="1"/>
  <c r="B75" i="7"/>
  <c r="C75" i="7" s="1"/>
  <c r="B77" i="7"/>
  <c r="C77" i="7" s="1"/>
  <c r="B79" i="7"/>
  <c r="C79" i="7" s="1"/>
  <c r="B3" i="7"/>
  <c r="H3" i="7" s="1"/>
  <c r="G8" i="6"/>
  <c r="G5" i="6"/>
  <c r="G4" i="6"/>
  <c r="H10" i="6"/>
  <c r="H9" i="6"/>
  <c r="H7" i="6"/>
  <c r="H6" i="6"/>
  <c r="I4" i="6"/>
  <c r="H4" i="6"/>
  <c r="E4" i="7" l="1"/>
  <c r="F4" i="7" s="1"/>
  <c r="C3" i="7"/>
  <c r="C81" i="7" s="1"/>
  <c r="C83" i="7" s="1"/>
  <c r="B81" i="7"/>
  <c r="B15" i="5"/>
  <c r="F5" i="5"/>
  <c r="G4" i="5"/>
  <c r="F4" i="5"/>
  <c r="C13" i="5"/>
  <c r="C12" i="5"/>
  <c r="B14" i="5"/>
  <c r="B13" i="5"/>
  <c r="C11" i="5"/>
  <c r="B11" i="5"/>
  <c r="B5" i="5"/>
  <c r="H4" i="7" l="1"/>
  <c r="H5" i="7" l="1"/>
  <c r="E6" i="7" s="1"/>
  <c r="F6" i="7" s="1"/>
  <c r="H6" i="7" l="1"/>
  <c r="H7" i="7" s="1"/>
  <c r="E8" i="7" l="1"/>
  <c r="F8" i="7" s="1"/>
  <c r="H8" i="7" l="1"/>
  <c r="H9" i="7" s="1"/>
  <c r="E10" i="7" l="1"/>
  <c r="F10" i="7" s="1"/>
  <c r="H10" i="7" l="1"/>
  <c r="H11" i="7" s="1"/>
  <c r="E12" i="7" l="1"/>
  <c r="F12" i="7" s="1"/>
  <c r="H12" i="7" s="1"/>
  <c r="H13" i="7" s="1"/>
  <c r="E14" i="7" s="1"/>
  <c r="F14" i="7" s="1"/>
  <c r="H14" i="7" l="1"/>
  <c r="H15" i="7" s="1"/>
  <c r="E16" i="7" s="1"/>
  <c r="F16" i="7" l="1"/>
  <c r="H16" i="7" s="1"/>
  <c r="H17" i="7" s="1"/>
  <c r="E18" i="7" s="1"/>
  <c r="F18" i="7" l="1"/>
  <c r="H18" i="7" s="1"/>
  <c r="H19" i="7" s="1"/>
  <c r="E20" i="7" s="1"/>
  <c r="F20" i="7" s="1"/>
  <c r="H20" i="7" l="1"/>
  <c r="H21" i="7" s="1"/>
  <c r="E22" i="7" s="1"/>
  <c r="F22" i="7" s="1"/>
  <c r="H22" i="7" l="1"/>
  <c r="H23" i="7" s="1"/>
  <c r="E24" i="7" l="1"/>
  <c r="F24" i="7" s="1"/>
  <c r="H24" i="7" l="1"/>
  <c r="H25" i="7" l="1"/>
  <c r="E26" i="7" l="1"/>
  <c r="F26" i="7" s="1"/>
  <c r="H26" i="7" l="1"/>
  <c r="H27" i="7" s="1"/>
  <c r="E28" i="7" s="1"/>
  <c r="F28" i="7" s="1"/>
  <c r="H28" i="7" s="1"/>
  <c r="H29" i="7" s="1"/>
  <c r="E30" i="7" l="1"/>
  <c r="F30" i="7" s="1"/>
  <c r="H30" i="7" l="1"/>
  <c r="H31" i="7" s="1"/>
  <c r="E32" i="7" l="1"/>
  <c r="F32" i="7" s="1"/>
  <c r="H32" i="7" l="1"/>
  <c r="H33" i="7" s="1"/>
  <c r="E34" i="7" s="1"/>
  <c r="F34" i="7" l="1"/>
  <c r="H34" i="7" s="1"/>
  <c r="H35" i="7" s="1"/>
  <c r="E36" i="7" s="1"/>
  <c r="F36" i="7" l="1"/>
  <c r="H36" i="7" s="1"/>
  <c r="H37" i="7" s="1"/>
  <c r="E38" i="7" l="1"/>
  <c r="F38" i="7" s="1"/>
  <c r="H38" i="7" l="1"/>
  <c r="H39" i="7" s="1"/>
  <c r="E40" i="7" s="1"/>
  <c r="F40" i="7" s="1"/>
  <c r="H40" i="7" l="1"/>
  <c r="H41" i="7" s="1"/>
  <c r="E42" i="7" l="1"/>
  <c r="F42" i="7" s="1"/>
  <c r="H42" i="7" l="1"/>
  <c r="H43" i="7" l="1"/>
  <c r="E44" i="7" l="1"/>
  <c r="F44" i="7" s="1"/>
  <c r="H44" i="7" l="1"/>
  <c r="H45" i="7" s="1"/>
  <c r="E46" i="7" s="1"/>
  <c r="F46" i="7" s="1"/>
  <c r="H46" i="7" l="1"/>
  <c r="H47" i="7" s="1"/>
  <c r="E48" i="7" s="1"/>
  <c r="F48" i="7" s="1"/>
  <c r="H48" i="7" l="1"/>
  <c r="H49" i="7" l="1"/>
  <c r="E50" i="7" l="1"/>
  <c r="F50" i="7" s="1"/>
  <c r="H50" i="7" l="1"/>
  <c r="H51" i="7" s="1"/>
  <c r="E52" i="7" l="1"/>
  <c r="F52" i="7" s="1"/>
  <c r="H52" i="7" l="1"/>
  <c r="H53" i="7" s="1"/>
  <c r="E54" i="7" l="1"/>
  <c r="F54" i="7" s="1"/>
  <c r="H54" i="7" l="1"/>
  <c r="H55" i="7" s="1"/>
  <c r="E56" i="7" s="1"/>
  <c r="F56" i="7" s="1"/>
  <c r="H56" i="7" l="1"/>
  <c r="H57" i="7" s="1"/>
  <c r="E58" i="7" s="1"/>
  <c r="F58" i="7" l="1"/>
  <c r="H58" i="7" s="1"/>
  <c r="H59" i="7" s="1"/>
  <c r="E60" i="7" s="1"/>
  <c r="F60" i="7" s="1"/>
  <c r="H60" i="7" l="1"/>
  <c r="H61" i="7" l="1"/>
  <c r="E62" i="7" l="1"/>
  <c r="F62" i="7" s="1"/>
  <c r="H62" i="7" l="1"/>
  <c r="H63" i="7" s="1"/>
  <c r="E64" i="7" s="1"/>
  <c r="F64" i="7" s="1"/>
  <c r="H64" i="7" l="1"/>
  <c r="H65" i="7" s="1"/>
  <c r="E68" i="7" s="1"/>
  <c r="F68" i="7" s="1"/>
  <c r="E66" i="7" l="1"/>
  <c r="F66" i="7" s="1"/>
  <c r="H66" i="7" l="1"/>
  <c r="H67" i="7" l="1"/>
  <c r="H68" i="7" s="1"/>
  <c r="H69" i="7" l="1"/>
  <c r="E70" i="7" l="1"/>
  <c r="F70" i="7" s="1"/>
  <c r="H70" i="7" l="1"/>
  <c r="H71" i="7" s="1"/>
  <c r="E72" i="7" l="1"/>
  <c r="F72" i="7" s="1"/>
  <c r="H72" i="7" l="1"/>
  <c r="H73" i="7" s="1"/>
  <c r="E74" i="7" l="1"/>
  <c r="F74" i="7" s="1"/>
  <c r="H74" i="7" l="1"/>
  <c r="H75" i="7" s="1"/>
  <c r="E76" i="7" s="1"/>
  <c r="F76" i="7" s="1"/>
  <c r="H76" i="7" l="1"/>
  <c r="H77" i="7" s="1"/>
  <c r="E78" i="7" s="1"/>
  <c r="F78" i="7" s="1"/>
  <c r="H78" i="7" l="1"/>
  <c r="H79" i="7" l="1"/>
  <c r="E80" i="7" l="1"/>
  <c r="F80" i="7" s="1"/>
</calcChain>
</file>

<file path=xl/sharedStrings.xml><?xml version="1.0" encoding="utf-8"?>
<sst xmlns="http://schemas.openxmlformats.org/spreadsheetml/2006/main" count="102" uniqueCount="67">
  <si>
    <t>Cytonn</t>
  </si>
  <si>
    <t>SC Shillingi Fund</t>
  </si>
  <si>
    <t>ASPECT</t>
  </si>
  <si>
    <t>Starting Minimum Investment</t>
  </si>
  <si>
    <t>MMF Risk Profile</t>
  </si>
  <si>
    <t>0-1.6</t>
  </si>
  <si>
    <t>Top-up investment (Min)</t>
  </si>
  <si>
    <t>Top-up investment (Max)</t>
  </si>
  <si>
    <t>Annualized Yield</t>
  </si>
  <si>
    <t>Sanlam Investment Profile</t>
  </si>
  <si>
    <t>Cash &amp; Bank Deposits</t>
  </si>
  <si>
    <t>Treasury Securities/Bills</t>
  </si>
  <si>
    <t>Corporate Debt/Commercial Paper</t>
  </si>
  <si>
    <t>(Where the money goes)</t>
  </si>
  <si>
    <t>Admin Charge</t>
  </si>
  <si>
    <t>Annual Management Fee</t>
  </si>
  <si>
    <t>Witholding Tax</t>
  </si>
  <si>
    <t>Thomas Mbaru</t>
  </si>
  <si>
    <t>SC shilingi Funds LinkedIn</t>
  </si>
  <si>
    <t>Cytonn Q'1 2022 Report</t>
  </si>
  <si>
    <t xml:space="preserve">Cytonn Market Research </t>
  </si>
  <si>
    <t>Treasury Bills Benchmark Yield</t>
  </si>
  <si>
    <t xml:space="preserve">Colllective Investment </t>
  </si>
  <si>
    <t>Fixed &amp; Demand Deposits</t>
  </si>
  <si>
    <t>Cash</t>
  </si>
  <si>
    <t>Government Securities</t>
  </si>
  <si>
    <r>
      <rPr>
        <b/>
        <sz val="11"/>
        <rFont val="Lucida Sans"/>
        <family val="2"/>
      </rPr>
      <t>STANDARD PAYBILL TARIFF</t>
    </r>
  </si>
  <si>
    <r>
      <rPr>
        <b/>
        <sz val="10"/>
        <rFont val="Lucida Sans"/>
        <family val="2"/>
      </rPr>
      <t>MIN</t>
    </r>
  </si>
  <si>
    <r>
      <rPr>
        <b/>
        <sz val="10"/>
        <rFont val="Lucida Sans"/>
        <family val="2"/>
      </rPr>
      <t>MAX</t>
    </r>
  </si>
  <si>
    <r>
      <rPr>
        <b/>
        <sz val="10"/>
        <rFont val="Lucida Sans"/>
        <family val="2"/>
      </rPr>
      <t>MGAO TARIFF</t>
    </r>
  </si>
  <si>
    <r>
      <rPr>
        <b/>
        <sz val="10"/>
        <rFont val="Lucida Sans"/>
        <family val="2"/>
      </rPr>
      <t>BUSINESS BOUQUET TARIFF</t>
    </r>
  </si>
  <si>
    <r>
      <rPr>
        <b/>
        <sz val="10"/>
        <rFont val="Lucida Sans"/>
        <family val="2"/>
      </rPr>
      <t>CUSTOMER BOUQUET TARIFF</t>
    </r>
  </si>
  <si>
    <r>
      <rPr>
        <b/>
        <sz val="10"/>
        <rFont val="Lucida Sans"/>
        <family val="2"/>
      </rPr>
      <t>CUSTOMER</t>
    </r>
  </si>
  <si>
    <r>
      <rPr>
        <b/>
        <sz val="10"/>
        <rFont val="Lucida Sans"/>
        <family val="2"/>
      </rPr>
      <t>BUSINESS</t>
    </r>
  </si>
  <si>
    <r>
      <rPr>
        <b/>
        <sz val="10"/>
        <rFont val="Lucida Sans"/>
        <family val="2"/>
      </rPr>
      <t>TOTAL</t>
    </r>
  </si>
  <si>
    <r>
      <rPr>
        <sz val="11"/>
        <rFont val="Maiandra GD"/>
        <family val="2"/>
      </rPr>
      <t>Free*</t>
    </r>
  </si>
  <si>
    <t>Case Assumptions</t>
  </si>
  <si>
    <t>Investment Amount</t>
  </si>
  <si>
    <t xml:space="preserve">Time in Years </t>
  </si>
  <si>
    <t>Time in Months</t>
  </si>
  <si>
    <t>Operational Costs</t>
  </si>
  <si>
    <t>Paybill Charge</t>
  </si>
  <si>
    <t>SC Shillingi</t>
  </si>
  <si>
    <t>Management Fee (p.a)</t>
  </si>
  <si>
    <t>Management Fee (Total)</t>
  </si>
  <si>
    <t>Investment Performance</t>
  </si>
  <si>
    <t>Monthly Yield</t>
  </si>
  <si>
    <t>Total Yield</t>
  </si>
  <si>
    <t>Tax Withheld</t>
  </si>
  <si>
    <t>Transactional Date</t>
  </si>
  <si>
    <t>Inflow</t>
  </si>
  <si>
    <t>Withdrawal</t>
  </si>
  <si>
    <t>Gross Interest</t>
  </si>
  <si>
    <t>Tax</t>
  </si>
  <si>
    <t>Running Balance</t>
  </si>
  <si>
    <t xml:space="preserve">Days </t>
  </si>
  <si>
    <t>Assumptions (Input)</t>
  </si>
  <si>
    <t>Monthly contribution</t>
  </si>
  <si>
    <t>MMF Yield p.a (Average)</t>
  </si>
  <si>
    <t>Paybill Charges (For Top-up)</t>
  </si>
  <si>
    <t xml:space="preserve">1st of  every month </t>
  </si>
  <si>
    <t>Calculate on Running balance from the last month</t>
  </si>
  <si>
    <t>4th of every month</t>
  </si>
  <si>
    <t>Top-up Amount</t>
  </si>
  <si>
    <t>Charges (Paybill &amp; Admin)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</si>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</sst>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Ksh&quot;* #,##0.00_-;\-&quot;Ksh&quot;* #,##0.00_-;_-&quot;Ksh&quot;* &quot;-&quot;??_-;_-@_-"/>
    <numFmt numFmtId="164" formatCode="&quot;Ksh&quot;#,##0.00"/>
    <numFmt numFmtId="165" formatCode="0.000000%"/>
    <numFmt numFmtId="166" formatCode="0.000%"/>
    <numFmt numFmtId="167" formatCode="#,##0.000000"/>
    <numFmt numFmtId="168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Lucida Sans"/>
    </font>
    <font>
      <b/>
      <sz val="11"/>
      <name val="Lucida Sans"/>
      <family val="2"/>
    </font>
    <font>
      <b/>
      <sz val="10"/>
      <name val="Lucida Sans"/>
    </font>
    <font>
      <b/>
      <sz val="10"/>
      <name val="Lucida Sans"/>
      <family val="2"/>
    </font>
    <font>
      <sz val="11"/>
      <color rgb="FF000000"/>
      <name val="Maiandra GD"/>
      <family val="2"/>
    </font>
    <font>
      <sz val="11"/>
      <name val="Maiandra GD"/>
    </font>
    <font>
      <sz val="11"/>
      <name val="Maiandra GD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EBF0DE"/>
      </patternFill>
    </fill>
    <fill>
      <patternFill patternType="solid">
        <fgColor rgb="FFF9BE8F"/>
      </patternFill>
    </fill>
    <fill>
      <patternFill patternType="solid">
        <fgColor rgb="FFDA9593"/>
      </patternFill>
    </fill>
    <fill>
      <patternFill patternType="solid">
        <fgColor rgb="FF94B3D6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1" applyFont="1"/>
    <xf numFmtId="0" fontId="6" fillId="0" borderId="0" xfId="2"/>
    <xf numFmtId="0" fontId="6" fillId="0" borderId="0" xfId="2" applyAlignment="1">
      <alignment wrapText="1"/>
    </xf>
    <xf numFmtId="0" fontId="9" fillId="4" borderId="4" xfId="0" applyFont="1" applyFill="1" applyBorder="1" applyAlignment="1">
      <alignment horizontal="center" vertical="top" wrapText="1"/>
    </xf>
    <xf numFmtId="0" fontId="9" fillId="5" borderId="4" xfId="0" applyFont="1" applyFill="1" applyBorder="1" applyAlignment="1">
      <alignment horizontal="center" vertical="top" wrapText="1"/>
    </xf>
    <xf numFmtId="0" fontId="9" fillId="5" borderId="4" xfId="0" applyFont="1" applyFill="1" applyBorder="1" applyAlignment="1">
      <alignment horizontal="right" vertical="top" wrapText="1" indent="2"/>
    </xf>
    <xf numFmtId="0" fontId="9" fillId="6" borderId="4" xfId="0" applyFont="1" applyFill="1" applyBorder="1" applyAlignment="1">
      <alignment horizontal="center" vertical="top" wrapText="1"/>
    </xf>
    <xf numFmtId="1" fontId="11" fillId="0" borderId="12" xfId="0" applyNumberFormat="1" applyFont="1" applyBorder="1" applyAlignment="1">
      <alignment horizontal="center" vertical="top" shrinkToFit="1"/>
    </xf>
    <xf numFmtId="0" fontId="12" fillId="0" borderId="11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right" vertical="top" wrapText="1" indent="2"/>
    </xf>
    <xf numFmtId="0" fontId="12" fillId="0" borderId="12" xfId="0" applyFont="1" applyBorder="1" applyAlignment="1">
      <alignment horizontal="center" vertical="top" wrapText="1"/>
    </xf>
    <xf numFmtId="0" fontId="12" fillId="0" borderId="12" xfId="0" applyFont="1" applyBorder="1" applyAlignment="1">
      <alignment horizontal="right" vertical="top" wrapText="1" indent="2"/>
    </xf>
    <xf numFmtId="3" fontId="11" fillId="0" borderId="12" xfId="0" applyNumberFormat="1" applyFont="1" applyBorder="1" applyAlignment="1">
      <alignment horizontal="left" vertical="top" indent="2" shrinkToFit="1"/>
    </xf>
    <xf numFmtId="3" fontId="11" fillId="0" borderId="12" xfId="0" applyNumberFormat="1" applyFont="1" applyBorder="1" applyAlignment="1">
      <alignment horizontal="center" vertical="top" shrinkToFit="1"/>
    </xf>
    <xf numFmtId="0" fontId="0" fillId="0" borderId="0" xfId="0" applyNumberFormat="1"/>
    <xf numFmtId="0" fontId="0" fillId="7" borderId="0" xfId="0" applyFill="1"/>
    <xf numFmtId="0" fontId="0" fillId="0" borderId="0" xfId="3" applyNumberFormat="1" applyFont="1"/>
    <xf numFmtId="0" fontId="9" fillId="8" borderId="4" xfId="0" applyFont="1" applyFill="1" applyBorder="1" applyAlignment="1">
      <alignment horizontal="center" vertical="top" wrapText="1"/>
    </xf>
    <xf numFmtId="0" fontId="12" fillId="8" borderId="11" xfId="0" applyFont="1" applyFill="1" applyBorder="1" applyAlignment="1">
      <alignment horizontal="center" vertical="top" wrapText="1"/>
    </xf>
    <xf numFmtId="0" fontId="12" fillId="8" borderId="12" xfId="0" applyFont="1" applyFill="1" applyBorder="1" applyAlignment="1">
      <alignment horizontal="center" vertical="top" wrapText="1"/>
    </xf>
    <xf numFmtId="1" fontId="11" fillId="8" borderId="12" xfId="0" applyNumberFormat="1" applyFont="1" applyFill="1" applyBorder="1" applyAlignment="1">
      <alignment horizontal="center" vertical="top" shrinkToFit="1"/>
    </xf>
    <xf numFmtId="0" fontId="0" fillId="8" borderId="0" xfId="0" applyFill="1"/>
    <xf numFmtId="14" fontId="15" fillId="0" borderId="0" xfId="0" applyNumberFormat="1" applyFont="1"/>
    <xf numFmtId="0" fontId="15" fillId="0" borderId="0" xfId="0" applyFont="1"/>
    <xf numFmtId="14" fontId="0" fillId="0" borderId="0" xfId="0" applyNumberFormat="1"/>
    <xf numFmtId="4" fontId="0" fillId="0" borderId="0" xfId="0" applyNumberFormat="1"/>
    <xf numFmtId="1" fontId="15" fillId="0" borderId="0" xfId="0" applyNumberFormat="1" applyFont="1"/>
    <xf numFmtId="1" fontId="0" fillId="0" borderId="0" xfId="0" applyNumberFormat="1"/>
    <xf numFmtId="0" fontId="16" fillId="0" borderId="0" xfId="0" applyFont="1"/>
    <xf numFmtId="0" fontId="14" fillId="0" borderId="0" xfId="0" applyFont="1"/>
    <xf numFmtId="165" fontId="14" fillId="0" borderId="0" xfId="1" applyNumberFormat="1" applyFont="1"/>
    <xf numFmtId="166" fontId="14" fillId="0" borderId="0" xfId="1" applyNumberFormat="1" applyFont="1" applyAlignment="1">
      <alignment horizontal="left" indent="1"/>
    </xf>
    <xf numFmtId="0" fontId="15" fillId="0" borderId="0" xfId="0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15" fillId="9" borderId="0" xfId="0" applyFont="1" applyFill="1"/>
    <xf numFmtId="0" fontId="0" fillId="10" borderId="0" xfId="0" applyFill="1" applyAlignment="1">
      <alignment wrapText="1"/>
    </xf>
    <xf numFmtId="0" fontId="17" fillId="0" borderId="0" xfId="0" applyFont="1"/>
    <xf numFmtId="0" fontId="17" fillId="10" borderId="0" xfId="0" applyFont="1" applyFill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67" fontId="15" fillId="0" borderId="0" xfId="0" applyNumberFormat="1" applyFont="1"/>
    <xf numFmtId="168" fontId="0" fillId="0" borderId="0" xfId="0" applyNumberFormat="1"/>
    <xf numFmtId="0" fontId="7" fillId="2" borderId="1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left" vertical="center" wrapText="1" indent="3"/>
    </xf>
    <xf numFmtId="0" fontId="9" fillId="3" borderId="11" xfId="0" applyFont="1" applyFill="1" applyBorder="1" applyAlignment="1">
      <alignment horizontal="left" vertical="center" wrapText="1" indent="3"/>
    </xf>
    <xf numFmtId="0" fontId="9" fillId="4" borderId="5" xfId="0" applyFont="1" applyFill="1" applyBorder="1" applyAlignment="1">
      <alignment horizontal="left" vertical="top" wrapText="1" indent="9"/>
    </xf>
    <xf numFmtId="0" fontId="9" fillId="4" borderId="6" xfId="0" applyFont="1" applyFill="1" applyBorder="1" applyAlignment="1">
      <alignment horizontal="left" vertical="top" wrapText="1" indent="9"/>
    </xf>
    <xf numFmtId="0" fontId="9" fillId="4" borderId="7" xfId="0" applyFont="1" applyFill="1" applyBorder="1" applyAlignment="1">
      <alignment horizontal="left" vertical="top" wrapText="1" indent="9"/>
    </xf>
    <xf numFmtId="0" fontId="9" fillId="5" borderId="8" xfId="0" applyFont="1" applyFill="1" applyBorder="1" applyAlignment="1">
      <alignment horizontal="left" vertical="top" wrapText="1" indent="4"/>
    </xf>
    <xf numFmtId="0" fontId="9" fillId="5" borderId="9" xfId="0" applyFont="1" applyFill="1" applyBorder="1" applyAlignment="1">
      <alignment horizontal="left" vertical="top" wrapText="1" indent="4"/>
    </xf>
    <xf numFmtId="0" fontId="9" fillId="5" borderId="10" xfId="0" applyFont="1" applyFill="1" applyBorder="1" applyAlignment="1">
      <alignment horizontal="left" vertical="top" wrapText="1" indent="4"/>
    </xf>
    <xf numFmtId="0" fontId="9" fillId="6" borderId="8" xfId="0" applyFont="1" applyFill="1" applyBorder="1" applyAlignment="1">
      <alignment horizontal="left" vertical="top" wrapText="1" indent="3"/>
    </xf>
    <xf numFmtId="0" fontId="9" fillId="6" borderId="9" xfId="0" applyFont="1" applyFill="1" applyBorder="1" applyAlignment="1">
      <alignment horizontal="left" vertical="top" wrapText="1" indent="3"/>
    </xf>
    <xf numFmtId="0" fontId="9" fillId="6" borderId="10" xfId="0" applyFont="1" applyFill="1" applyBorder="1" applyAlignment="1">
      <alignment horizontal="left" vertical="top" wrapText="1" indent="3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1114424</xdr:colOff>
      <xdr:row>11</xdr:row>
      <xdr:rowOff>104775</xdr:rowOff>
    </xdr:from>
    <xdr:to>
      <xdr:col>5</xdr:col>
      <xdr:colOff>600075</xdr:colOff>
      <xdr:row>12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6EE34-3618-4209-B06B-397539095D94}"/>
            </a:ext>
          </a:extLst>
        </xdr:cNvPr>
        <xdr:cNvSpPr txBox="1"/>
      </xdr:nvSpPr>
      <xdr:spPr>
        <a:xfrm>
          <a:off x="3505199" y="2676525"/>
          <a:ext cx="194310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Update: 4th</a:t>
          </a:r>
          <a:r>
            <a:rPr lang="en-US" sz="1100" baseline="0"/>
            <a:t> Feb 2022</a:t>
          </a:r>
        </a:p>
        <a:p>
          <a:endParaRPr lang="en-KE" sz="1100"/>
        </a:p>
      </xdr:txBody>
    </xdr:sp>
    <xdr:clientData/>
  </xdr:twoCellAnchor>
  <xdr:twoCellAnchor>
    <xdr:from>
      <xdr:col>0</xdr:col>
      <xdr:colOff>1438275</xdr:colOff>
      <xdr:row>11</xdr:row>
      <xdr:rowOff>114300</xdr:rowOff>
    </xdr:from>
    <xdr:to>
      <xdr:col>2</xdr:col>
      <xdr:colOff>990601</xdr:colOff>
      <xdr:row>12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7B54C2-23D9-4043-883B-17FE99D5CAA0}"/>
            </a:ext>
          </a:extLst>
        </xdr:cNvPr>
        <xdr:cNvSpPr txBox="1"/>
      </xdr:nvSpPr>
      <xdr:spPr>
        <a:xfrm>
          <a:off x="1438275" y="2686050"/>
          <a:ext cx="194310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Update: 31st</a:t>
          </a:r>
          <a:r>
            <a:rPr lang="en-US" sz="1100" baseline="0"/>
            <a:t> Mar 2022</a:t>
          </a:r>
        </a:p>
        <a:p>
          <a:endParaRPr lang="en-KE" sz="1100"/>
        </a:p>
      </xdr:txBody>
    </xdr:sp>
    <xdr:clientData/>
  </xdr:twoCellAnchor>
  <xdr:twoCellAnchor>
    <xdr:from>
      <xdr:col>3</xdr:col>
      <xdr:colOff>123825</xdr:colOff>
      <xdr:row>4</xdr:row>
      <xdr:rowOff>123825</xdr:rowOff>
    </xdr:from>
    <xdr:to>
      <xdr:col>4</xdr:col>
      <xdr:colOff>581025</xdr:colOff>
      <xdr:row>5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6A060AA-0A76-4C47-81DD-9B7FCC8CB73E}"/>
            </a:ext>
          </a:extLst>
        </xdr:cNvPr>
        <xdr:cNvSpPr txBox="1"/>
      </xdr:nvSpPr>
      <xdr:spPr>
        <a:xfrm>
          <a:off x="3752850" y="1362075"/>
          <a:ext cx="10668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every deposit</a:t>
          </a:r>
          <a:endParaRPr lang="en-K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3</xdr:row>
      <xdr:rowOff>28575</xdr:rowOff>
    </xdr:from>
    <xdr:to>
      <xdr:col>15</xdr:col>
      <xdr:colOff>544028</xdr:colOff>
      <xdr:row>19</xdr:row>
      <xdr:rowOff>133790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3ADA8-4865-41A1-B44D-7B522BBC0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5" y="942975"/>
          <a:ext cx="7906853" cy="31532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CD2A9-BECD-4BBC-9C7A-7396A6D833A8}" name="Table1" displayName="Table1" ref="J1:K10" totalsRowShown="0">
  <autoFilter ref="J1:K10" xr:uid="{2F45A147-D792-4B87-A26A-998C65CCCAE8}"/>
  <tableColumns count="2">
    <tableColumn id="1" xr3:uid="{76B32805-50C8-4C6B-B604-89DE107E2174}" name="Assumptions (Input)"/>
    <tableColumn id="2" xr3:uid="{BF069FDC-27AC-4BFA-A3AD-AEE2C7AA8F08}" name="Column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ytonnreport.com/research/cytonn-q12022-markets" TargetMode="External"/><Relationship Id="rId1" Type="http://schemas.openxmlformats.org/officeDocument/2006/relationships/hyperlink" Target="https://www.linkedin.com/pulse/sc-shilingi-funds-mobile-based-investment-platform-stanchart-mba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BF7D-F522-45A2-8066-03EC3CED991A}">
  <dimension ref="A1:I41"/>
  <sheetViews>
    <sheetView topLeftCell="A16" workbookViewId="0">
      <selection activeCell="C24" sqref="C24"/>
    </sheetView>
  </sheetViews>
  <sheetFormatPr defaultRowHeight="15" x14ac:dyDescent="0.25"/>
  <cols>
    <col min="1" max="1" width="14.28515625" style="35" customWidth="1"/>
    <col min="3" max="3" width="12.28515625" customWidth="1"/>
    <col min="4" max="4" width="14" customWidth="1"/>
    <col min="6" max="6" width="19.5703125" customWidth="1"/>
    <col min="7" max="7" width="19.5703125" style="38" customWidth="1"/>
    <col min="8" max="8" width="16.42578125" style="40" customWidth="1"/>
    <col min="9" max="9" width="9.140625" style="40"/>
  </cols>
  <sheetData>
    <row r="1" spans="1:9" s="34" customFormat="1" ht="15.75" x14ac:dyDescent="0.25">
      <c r="A1" s="33" t="s">
        <v>49</v>
      </c>
      <c r="B1" s="34" t="s">
        <v>50</v>
      </c>
      <c r="C1" s="34" t="s">
        <v>51</v>
      </c>
      <c r="D1" s="34" t="s">
        <v>52</v>
      </c>
      <c r="E1" s="34" t="s">
        <v>53</v>
      </c>
      <c r="F1" s="34" t="s">
        <v>54</v>
      </c>
      <c r="G1" s="37" t="s">
        <v>55</v>
      </c>
      <c r="H1" s="39"/>
      <c r="I1" s="39"/>
    </row>
    <row r="2" spans="1:9" x14ac:dyDescent="0.25">
      <c r="A2" s="35">
        <v>44293</v>
      </c>
      <c r="B2" s="36">
        <v>10000</v>
      </c>
      <c r="F2" s="36">
        <v>10000</v>
      </c>
    </row>
    <row r="3" spans="1:9" x14ac:dyDescent="0.25">
      <c r="A3" s="35">
        <v>44305</v>
      </c>
      <c r="B3">
        <v>100</v>
      </c>
      <c r="F3" s="36">
        <v>10100</v>
      </c>
    </row>
    <row r="4" spans="1:9" x14ac:dyDescent="0.25">
      <c r="A4" s="35">
        <v>44305</v>
      </c>
      <c r="C4">
        <v>0</v>
      </c>
      <c r="D4">
        <v>35.43</v>
      </c>
      <c r="E4">
        <v>5.31</v>
      </c>
      <c r="F4" s="36">
        <v>10130.11</v>
      </c>
      <c r="G4" s="38">
        <f>_xlfn.DAYS(A3,$A$2)</f>
        <v>12</v>
      </c>
      <c r="H4" s="41">
        <f>((F4-F3)/F3)*_xlfn.DAYS(A3,$A$2)</f>
        <v>3.5774257425743264E-2</v>
      </c>
      <c r="I4" s="40">
        <f>(10.5*7)/30</f>
        <v>2.4500000000000002</v>
      </c>
    </row>
    <row r="5" spans="1:9" x14ac:dyDescent="0.25">
      <c r="A5" s="35">
        <v>44312</v>
      </c>
      <c r="B5" s="36">
        <v>12000</v>
      </c>
      <c r="F5" s="36">
        <v>22130.11</v>
      </c>
      <c r="G5" s="38">
        <f>_xlfn.DAYS(A6,A4)</f>
        <v>7</v>
      </c>
    </row>
    <row r="6" spans="1:9" x14ac:dyDescent="0.25">
      <c r="A6" s="35">
        <v>44312</v>
      </c>
      <c r="C6">
        <v>0</v>
      </c>
      <c r="D6">
        <v>22.52</v>
      </c>
      <c r="E6">
        <v>3.38</v>
      </c>
      <c r="F6" s="36">
        <v>22149.25</v>
      </c>
      <c r="H6" s="41">
        <f>((F6-F5)/F5)*_xlfn.DAYS(A5,$A$2)</f>
        <v>1.6432814839148515E-2</v>
      </c>
    </row>
    <row r="7" spans="1:9" x14ac:dyDescent="0.25">
      <c r="A7" s="35">
        <v>44316</v>
      </c>
      <c r="C7">
        <v>0</v>
      </c>
      <c r="D7">
        <v>24.23</v>
      </c>
      <c r="E7">
        <v>3.63</v>
      </c>
      <c r="F7" s="36">
        <v>22169.85</v>
      </c>
      <c r="H7" s="41">
        <f>((F7-F6)/F6)*_xlfn.DAYS(A7,$A$2)</f>
        <v>2.1391243495827918E-2</v>
      </c>
    </row>
    <row r="8" spans="1:9" x14ac:dyDescent="0.25">
      <c r="A8" s="35">
        <v>44322</v>
      </c>
      <c r="B8" s="36">
        <v>15000</v>
      </c>
      <c r="F8" s="36">
        <v>37169.85</v>
      </c>
      <c r="G8" s="38">
        <f>_xlfn.DAYS(A8,A7)</f>
        <v>6</v>
      </c>
    </row>
    <row r="9" spans="1:9" x14ac:dyDescent="0.25">
      <c r="A9" s="35">
        <v>44322</v>
      </c>
      <c r="C9">
        <v>0</v>
      </c>
      <c r="D9">
        <v>40.42</v>
      </c>
      <c r="E9">
        <v>6.06</v>
      </c>
      <c r="F9" s="36">
        <v>37204.21</v>
      </c>
      <c r="H9" s="42">
        <f>((F9-F8)/F8)*_xlfn.DAYS(A9,$A$2)</f>
        <v>2.6807748753358351E-2</v>
      </c>
    </row>
    <row r="10" spans="1:9" x14ac:dyDescent="0.25">
      <c r="A10" s="35">
        <v>44347</v>
      </c>
      <c r="C10">
        <v>0</v>
      </c>
      <c r="D10">
        <v>255.8</v>
      </c>
      <c r="E10">
        <v>38.369999999999997</v>
      </c>
      <c r="F10" s="36">
        <v>37421.629999999997</v>
      </c>
      <c r="H10" s="42">
        <f>((F10-F9)/F9)*_xlfn.DAYS(A10,$A$2)</f>
        <v>0.31557396326920811</v>
      </c>
    </row>
    <row r="11" spans="1:9" x14ac:dyDescent="0.25">
      <c r="A11" s="35">
        <v>44358</v>
      </c>
      <c r="B11" s="36">
        <v>13000</v>
      </c>
      <c r="F11" s="36">
        <v>50421.63</v>
      </c>
    </row>
    <row r="12" spans="1:9" x14ac:dyDescent="0.25">
      <c r="A12" s="35">
        <v>44358</v>
      </c>
      <c r="C12">
        <v>0</v>
      </c>
      <c r="D12">
        <v>115.28</v>
      </c>
      <c r="E12">
        <v>17.29</v>
      </c>
      <c r="F12" s="36">
        <v>50519.63</v>
      </c>
    </row>
    <row r="13" spans="1:9" x14ac:dyDescent="0.25">
      <c r="A13" s="35">
        <v>44360</v>
      </c>
      <c r="C13" s="36">
        <v>16052</v>
      </c>
      <c r="D13">
        <v>23.04</v>
      </c>
      <c r="E13">
        <v>3.46</v>
      </c>
      <c r="F13" s="36">
        <v>34487.21</v>
      </c>
    </row>
    <row r="14" spans="1:9" x14ac:dyDescent="0.25">
      <c r="A14" s="35">
        <v>44365</v>
      </c>
      <c r="C14" s="36">
        <v>5526</v>
      </c>
      <c r="D14">
        <v>45.17</v>
      </c>
      <c r="E14">
        <v>6.78</v>
      </c>
      <c r="F14" s="36">
        <v>28999.599999999999</v>
      </c>
    </row>
    <row r="15" spans="1:9" x14ac:dyDescent="0.25">
      <c r="A15" s="35">
        <v>44366</v>
      </c>
      <c r="C15" s="36">
        <v>9025</v>
      </c>
      <c r="D15">
        <v>5.48</v>
      </c>
      <c r="E15">
        <v>0.82</v>
      </c>
      <c r="F15" s="36">
        <v>19979.259999999998</v>
      </c>
    </row>
    <row r="16" spans="1:9" x14ac:dyDescent="0.25">
      <c r="A16" s="35">
        <v>44374</v>
      </c>
      <c r="C16" s="36">
        <v>7326</v>
      </c>
      <c r="D16">
        <v>41.65</v>
      </c>
      <c r="E16">
        <v>6.25</v>
      </c>
      <c r="F16" s="36">
        <v>12688.66</v>
      </c>
    </row>
    <row r="17" spans="1:6" x14ac:dyDescent="0.25">
      <c r="A17" s="35">
        <v>44377</v>
      </c>
      <c r="C17">
        <v>0</v>
      </c>
      <c r="D17">
        <v>10.23</v>
      </c>
      <c r="E17">
        <v>1.53</v>
      </c>
      <c r="F17" s="36">
        <v>12697.36</v>
      </c>
    </row>
    <row r="18" spans="1:6" x14ac:dyDescent="0.25">
      <c r="A18" s="35">
        <v>44403</v>
      </c>
      <c r="C18" s="36">
        <v>12526</v>
      </c>
      <c r="D18">
        <v>86.7</v>
      </c>
      <c r="E18">
        <v>13</v>
      </c>
      <c r="F18">
        <v>245.05</v>
      </c>
    </row>
    <row r="19" spans="1:6" x14ac:dyDescent="0.25">
      <c r="A19" s="35">
        <v>44408</v>
      </c>
      <c r="C19">
        <v>0</v>
      </c>
      <c r="D19">
        <v>0.33</v>
      </c>
      <c r="E19">
        <v>0.05</v>
      </c>
      <c r="F19">
        <v>245.34</v>
      </c>
    </row>
    <row r="20" spans="1:6" x14ac:dyDescent="0.25">
      <c r="A20" s="35">
        <v>44439</v>
      </c>
      <c r="C20">
        <v>0</v>
      </c>
      <c r="D20">
        <v>2.11</v>
      </c>
      <c r="E20">
        <v>0.32</v>
      </c>
      <c r="F20">
        <v>247.13</v>
      </c>
    </row>
    <row r="21" spans="1:6" x14ac:dyDescent="0.25">
      <c r="A21" s="35">
        <v>44446</v>
      </c>
      <c r="B21" s="36">
        <v>3500</v>
      </c>
      <c r="F21" s="36">
        <v>3747.13</v>
      </c>
    </row>
    <row r="22" spans="1:6" x14ac:dyDescent="0.25">
      <c r="A22" s="35">
        <v>44446</v>
      </c>
      <c r="C22">
        <v>0</v>
      </c>
      <c r="D22">
        <v>1.46</v>
      </c>
      <c r="E22">
        <v>0.22</v>
      </c>
      <c r="F22" s="36">
        <v>3748.37</v>
      </c>
    </row>
    <row r="23" spans="1:6" x14ac:dyDescent="0.25">
      <c r="A23" s="35">
        <v>44456</v>
      </c>
      <c r="C23" s="36">
        <v>3526</v>
      </c>
      <c r="D23">
        <v>9.4</v>
      </c>
      <c r="E23">
        <v>1.41</v>
      </c>
      <c r="F23">
        <v>230.36</v>
      </c>
    </row>
    <row r="24" spans="1:6" x14ac:dyDescent="0.25">
      <c r="A24" s="35">
        <v>44469</v>
      </c>
      <c r="C24">
        <v>0</v>
      </c>
      <c r="D24">
        <v>0.83</v>
      </c>
      <c r="E24">
        <v>0.12</v>
      </c>
      <c r="F24">
        <v>231.07</v>
      </c>
    </row>
    <row r="25" spans="1:6" x14ac:dyDescent="0.25">
      <c r="A25" s="35">
        <v>44500</v>
      </c>
      <c r="C25">
        <v>0</v>
      </c>
      <c r="D25">
        <v>1.98</v>
      </c>
      <c r="E25">
        <v>0.3</v>
      </c>
      <c r="F25">
        <v>232.75</v>
      </c>
    </row>
    <row r="26" spans="1:6" x14ac:dyDescent="0.25">
      <c r="A26" s="35">
        <v>44530</v>
      </c>
      <c r="C26">
        <v>0</v>
      </c>
      <c r="D26">
        <v>1.94</v>
      </c>
      <c r="E26">
        <v>0.28999999999999998</v>
      </c>
      <c r="F26">
        <v>234.39</v>
      </c>
    </row>
    <row r="27" spans="1:6" x14ac:dyDescent="0.25">
      <c r="A27" s="35">
        <v>44544</v>
      </c>
      <c r="B27" s="36">
        <v>20000</v>
      </c>
      <c r="F27" s="36">
        <v>20234.39</v>
      </c>
    </row>
    <row r="28" spans="1:6" x14ac:dyDescent="0.25">
      <c r="A28" s="35">
        <v>44544</v>
      </c>
      <c r="C28">
        <v>0</v>
      </c>
      <c r="D28">
        <v>6.31</v>
      </c>
      <c r="E28">
        <v>0.95</v>
      </c>
      <c r="F28" s="36">
        <v>20239.75</v>
      </c>
    </row>
    <row r="29" spans="1:6" x14ac:dyDescent="0.25">
      <c r="A29" s="35">
        <v>44492</v>
      </c>
      <c r="C29" s="36">
        <v>4026</v>
      </c>
      <c r="D29">
        <v>48.58</v>
      </c>
      <c r="E29">
        <v>7.29</v>
      </c>
      <c r="F29" s="36">
        <v>16255.05</v>
      </c>
    </row>
    <row r="30" spans="1:6" x14ac:dyDescent="0.25">
      <c r="A30" s="35">
        <v>44557</v>
      </c>
      <c r="C30" s="36">
        <v>2026</v>
      </c>
      <c r="D30">
        <v>17.28</v>
      </c>
      <c r="E30">
        <v>2.59</v>
      </c>
      <c r="F30" s="36">
        <v>14243.74</v>
      </c>
    </row>
    <row r="31" spans="1:6" x14ac:dyDescent="0.25">
      <c r="A31" s="35">
        <v>44561</v>
      </c>
      <c r="C31" s="36">
        <v>3026</v>
      </c>
      <c r="D31">
        <v>14.76</v>
      </c>
      <c r="E31">
        <v>2.21</v>
      </c>
      <c r="F31" s="36">
        <v>11230.28</v>
      </c>
    </row>
    <row r="32" spans="1:6" x14ac:dyDescent="0.25">
      <c r="A32" s="35">
        <v>44589</v>
      </c>
      <c r="C32" s="36">
        <v>1326</v>
      </c>
      <c r="D32">
        <v>85.33</v>
      </c>
      <c r="E32">
        <v>12.8</v>
      </c>
      <c r="F32" s="36">
        <v>9976.81</v>
      </c>
    </row>
    <row r="33" spans="1:6" x14ac:dyDescent="0.25">
      <c r="A33" s="35">
        <v>44591</v>
      </c>
      <c r="C33">
        <v>974</v>
      </c>
      <c r="D33">
        <v>5.14</v>
      </c>
      <c r="E33">
        <v>0.77</v>
      </c>
      <c r="F33" s="36">
        <v>9007.18</v>
      </c>
    </row>
    <row r="34" spans="1:6" x14ac:dyDescent="0.25">
      <c r="A34" s="35">
        <v>44592</v>
      </c>
      <c r="C34">
        <v>0</v>
      </c>
      <c r="D34">
        <v>2.44</v>
      </c>
      <c r="E34">
        <v>0.37</v>
      </c>
      <c r="F34" s="36">
        <v>9009.25</v>
      </c>
    </row>
    <row r="35" spans="1:6" x14ac:dyDescent="0.25">
      <c r="A35" s="35">
        <v>44595</v>
      </c>
      <c r="C35" s="36">
        <v>8726</v>
      </c>
      <c r="D35">
        <v>4.96</v>
      </c>
      <c r="E35">
        <v>0.74</v>
      </c>
      <c r="F35">
        <v>287.45999999999998</v>
      </c>
    </row>
    <row r="36" spans="1:6" x14ac:dyDescent="0.25">
      <c r="A36" s="35">
        <v>44620</v>
      </c>
      <c r="C36">
        <v>0</v>
      </c>
      <c r="D36">
        <v>1.97</v>
      </c>
      <c r="E36">
        <v>0.3</v>
      </c>
      <c r="F36">
        <v>289.14</v>
      </c>
    </row>
    <row r="37" spans="1:6" x14ac:dyDescent="0.25">
      <c r="A37" s="35">
        <v>44651</v>
      </c>
      <c r="C37">
        <v>0</v>
      </c>
      <c r="D37">
        <v>2.4700000000000002</v>
      </c>
      <c r="E37">
        <v>0.37</v>
      </c>
      <c r="F37">
        <v>291.24</v>
      </c>
    </row>
    <row r="38" spans="1:6" x14ac:dyDescent="0.25">
      <c r="A38" s="35">
        <v>44681</v>
      </c>
      <c r="C38">
        <v>0</v>
      </c>
      <c r="D38">
        <v>2.41</v>
      </c>
      <c r="E38">
        <v>0.36</v>
      </c>
      <c r="F38">
        <v>293.27999999999997</v>
      </c>
    </row>
    <row r="39" spans="1:6" x14ac:dyDescent="0.25">
      <c r="A39" s="35">
        <v>44712</v>
      </c>
      <c r="C39">
        <v>0</v>
      </c>
      <c r="D39">
        <v>2.5</v>
      </c>
      <c r="E39">
        <v>0.38</v>
      </c>
      <c r="F39">
        <v>295.41000000000003</v>
      </c>
    </row>
    <row r="40" spans="1:6" x14ac:dyDescent="0.25">
      <c r="A40" s="35">
        <v>44742</v>
      </c>
      <c r="C40">
        <v>0</v>
      </c>
      <c r="D40">
        <v>2.4300000000000002</v>
      </c>
      <c r="E40">
        <v>0.36</v>
      </c>
      <c r="F40">
        <v>297.47000000000003</v>
      </c>
    </row>
    <row r="41" spans="1:6" x14ac:dyDescent="0.25">
      <c r="A41" s="35">
        <v>44756</v>
      </c>
      <c r="C41">
        <v>0</v>
      </c>
      <c r="D41">
        <v>1.06</v>
      </c>
      <c r="E41">
        <v>0.16</v>
      </c>
      <c r="F41">
        <v>298.37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B7" sqref="B7"/>
    </sheetView>
  </sheetViews>
  <sheetFormatPr defaultRowHeight="15" x14ac:dyDescent="0.25"/>
  <cols>
    <col min="1" max="1" width="24" customWidth="1"/>
    <col min="2" max="2" width="11.85546875" customWidth="1"/>
    <col min="3" max="3" width="18.5703125" customWidth="1"/>
  </cols>
  <sheetData>
    <row r="1" spans="1:3" ht="37.5" x14ac:dyDescent="0.3">
      <c r="A1" s="3" t="s">
        <v>2</v>
      </c>
      <c r="B1" s="3" t="s">
        <v>0</v>
      </c>
      <c r="C1" s="4" t="s">
        <v>1</v>
      </c>
    </row>
    <row r="3" spans="1:3" ht="30" x14ac:dyDescent="0.25">
      <c r="A3" s="1" t="s">
        <v>3</v>
      </c>
      <c r="B3">
        <v>100</v>
      </c>
      <c r="C3" s="5">
        <v>2500</v>
      </c>
    </row>
    <row r="4" spans="1:3" x14ac:dyDescent="0.25">
      <c r="A4" t="s">
        <v>6</v>
      </c>
      <c r="B4">
        <v>100</v>
      </c>
      <c r="C4" s="5">
        <v>1000</v>
      </c>
    </row>
    <row r="5" spans="1:3" x14ac:dyDescent="0.25">
      <c r="A5" t="s">
        <v>7</v>
      </c>
      <c r="C5" s="5">
        <v>10000</v>
      </c>
    </row>
    <row r="6" spans="1:3" x14ac:dyDescent="0.25">
      <c r="A6" t="s">
        <v>14</v>
      </c>
      <c r="B6">
        <v>0</v>
      </c>
      <c r="C6" s="11">
        <v>0.01</v>
      </c>
    </row>
    <row r="7" spans="1:3" x14ac:dyDescent="0.25">
      <c r="A7" t="s">
        <v>15</v>
      </c>
      <c r="B7" s="6">
        <v>1.4999999999999999E-2</v>
      </c>
      <c r="C7" s="11">
        <v>1.2E-2</v>
      </c>
    </row>
    <row r="8" spans="1:3" x14ac:dyDescent="0.25">
      <c r="A8" t="s">
        <v>16</v>
      </c>
      <c r="B8" s="11">
        <v>0.15</v>
      </c>
      <c r="C8" s="11">
        <v>0.15</v>
      </c>
    </row>
    <row r="9" spans="1:3" x14ac:dyDescent="0.25">
      <c r="A9" t="s">
        <v>4</v>
      </c>
      <c r="C9" t="s">
        <v>5</v>
      </c>
    </row>
    <row r="10" spans="1:3" x14ac:dyDescent="0.25">
      <c r="A10" t="s">
        <v>8</v>
      </c>
      <c r="B10" s="6">
        <v>0.108</v>
      </c>
      <c r="C10" s="6">
        <v>9.4399999999999998E-2</v>
      </c>
    </row>
    <row r="11" spans="1:3" x14ac:dyDescent="0.25">
      <c r="A11" t="s">
        <v>21</v>
      </c>
      <c r="B11" s="6">
        <v>8.1000000000000003E-2</v>
      </c>
      <c r="C11" s="6">
        <v>8.1000000000000003E-2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5604-2456-42F1-9F43-0F15EF7613AB}">
  <dimension ref="A1:B11"/>
  <sheetViews>
    <sheetView workbookViewId="0">
      <selection activeCell="B12" sqref="B12"/>
    </sheetView>
  </sheetViews>
  <sheetFormatPr defaultRowHeight="15" x14ac:dyDescent="0.25"/>
  <cols>
    <col min="1" max="1" width="26" customWidth="1"/>
  </cols>
  <sheetData>
    <row r="1" spans="1:2" x14ac:dyDescent="0.25">
      <c r="A1" s="2" t="s">
        <v>9</v>
      </c>
      <c r="B1" s="8" t="s">
        <v>13</v>
      </c>
    </row>
    <row r="3" spans="1:2" x14ac:dyDescent="0.25">
      <c r="A3" s="9" t="s">
        <v>10</v>
      </c>
      <c r="B3" s="7">
        <v>0.51</v>
      </c>
    </row>
    <row r="4" spans="1:2" x14ac:dyDescent="0.25">
      <c r="A4" s="9" t="s">
        <v>11</v>
      </c>
      <c r="B4" s="7">
        <v>0.25</v>
      </c>
    </row>
    <row r="5" spans="1:2" ht="30" x14ac:dyDescent="0.25">
      <c r="A5" s="10" t="s">
        <v>12</v>
      </c>
      <c r="B5" s="7">
        <v>0.25</v>
      </c>
    </row>
    <row r="7" spans="1:2" x14ac:dyDescent="0.25">
      <c r="A7" s="2" t="s">
        <v>0</v>
      </c>
    </row>
    <row r="8" spans="1:2" x14ac:dyDescent="0.25">
      <c r="A8" t="s">
        <v>22</v>
      </c>
      <c r="B8" s="6">
        <v>0.42399999999999999</v>
      </c>
    </row>
    <row r="9" spans="1:2" x14ac:dyDescent="0.25">
      <c r="A9" t="s">
        <v>23</v>
      </c>
      <c r="B9" s="6">
        <v>0.17100000000000001</v>
      </c>
    </row>
    <row r="10" spans="1:2" x14ac:dyDescent="0.25">
      <c r="A10" t="s">
        <v>24</v>
      </c>
      <c r="B10" s="6">
        <v>0.02</v>
      </c>
    </row>
    <row r="11" spans="1:2" x14ac:dyDescent="0.25">
      <c r="A11" t="s">
        <v>25</v>
      </c>
      <c r="B11" s="6">
        <v>0.38500000000000001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C1E1-4E31-4949-BF96-8176D65BA9A9}">
  <dimension ref="A1:K83"/>
  <sheetViews>
    <sheetView zoomScale="90" zoomScaleNormal="90" workbookViewId="0">
      <selection activeCell="B81" sqref="B81"/>
    </sheetView>
  </sheetViews>
  <sheetFormatPr defaultRowHeight="15" x14ac:dyDescent="0.25"/>
  <cols>
    <col min="1" max="1" width="14.28515625" style="35" customWidth="1"/>
    <col min="4" max="4" width="12.28515625" customWidth="1"/>
    <col min="5" max="5" width="14" customWidth="1"/>
    <col min="8" max="8" width="26.42578125" style="51" customWidth="1"/>
    <col min="9" max="9" width="19.5703125" style="38" customWidth="1"/>
    <col min="10" max="10" width="33.5703125" customWidth="1"/>
    <col min="11" max="11" width="28.42578125" style="1" customWidth="1"/>
  </cols>
  <sheetData>
    <row r="1" spans="1:11" s="34" customFormat="1" ht="15.75" x14ac:dyDescent="0.25">
      <c r="A1" s="33" t="s">
        <v>49</v>
      </c>
      <c r="B1" s="34" t="s">
        <v>50</v>
      </c>
      <c r="C1" s="34" t="s">
        <v>64</v>
      </c>
      <c r="D1" s="34" t="s">
        <v>51</v>
      </c>
      <c r="E1" s="34" t="s">
        <v>52</v>
      </c>
      <c r="F1" s="34" t="s">
        <v>53</v>
      </c>
      <c r="H1" s="52" t="s">
        <v>54</v>
      </c>
      <c r="I1" s="37"/>
      <c r="J1" s="34" t="s">
        <v>56</v>
      </c>
      <c r="K1" s="43" t="s">
        <v>66</v>
      </c>
    </row>
    <row r="2" spans="1:11" s="34" customFormat="1" ht="15.75" x14ac:dyDescent="0.25">
      <c r="A2" s="35">
        <v>44774</v>
      </c>
      <c r="H2" s="52">
        <v>0</v>
      </c>
      <c r="I2" s="37"/>
      <c r="K2" s="43"/>
    </row>
    <row r="3" spans="1:11" ht="15.75" x14ac:dyDescent="0.25">
      <c r="A3" s="35">
        <v>44777</v>
      </c>
      <c r="B3">
        <f>$K$3</f>
        <v>500</v>
      </c>
      <c r="C3">
        <f>VLOOKUP(B3,'Paybill Charges'!A:K,10,TRUE)</f>
        <v>23</v>
      </c>
      <c r="H3" s="51">
        <f>B3</f>
        <v>500</v>
      </c>
      <c r="J3" s="48" t="s">
        <v>57</v>
      </c>
      <c r="K3" s="1">
        <v>500</v>
      </c>
    </row>
    <row r="4" spans="1:11" ht="35.25" customHeight="1" x14ac:dyDescent="0.25">
      <c r="A4" s="35">
        <v>44805</v>
      </c>
      <c r="E4">
        <f>H3*($K$7/12)</f>
        <v>4.541666666666667</v>
      </c>
      <c r="F4">
        <f>$K$8*E4</f>
        <v>0.68125000000000002</v>
      </c>
      <c r="G4">
        <f>E4-F4</f>
        <v>3.8604166666666671</v>
      </c>
      <c r="H4" s="51">
        <f>H3+(E4-F4)</f>
        <v>503.86041666666665</v>
      </c>
      <c r="I4" s="53"/>
      <c r="J4" s="49" t="s">
        <v>60</v>
      </c>
      <c r="K4" s="47" t="s">
        <v>61</v>
      </c>
    </row>
    <row r="5" spans="1:11" ht="15.75" x14ac:dyDescent="0.25">
      <c r="A5" s="35">
        <v>44808</v>
      </c>
      <c r="B5">
        <f>$K$3</f>
        <v>500</v>
      </c>
      <c r="C5">
        <f>VLOOKUP(B5,'Paybill Charges'!A:K,10,TRUE)</f>
        <v>23</v>
      </c>
      <c r="G5">
        <f t="shared" ref="G5:G68" si="0">E5-F5</f>
        <v>0</v>
      </c>
      <c r="H5" s="51">
        <f>H4+B5</f>
        <v>1003.8604166666667</v>
      </c>
      <c r="J5" s="49" t="s">
        <v>62</v>
      </c>
      <c r="K5" s="47" t="s">
        <v>63</v>
      </c>
    </row>
    <row r="6" spans="1:11" ht="15.75" x14ac:dyDescent="0.25">
      <c r="A6" s="35">
        <v>44835</v>
      </c>
      <c r="E6">
        <f>H5*($K$7/12)</f>
        <v>9.1183987847222223</v>
      </c>
      <c r="F6">
        <f>$K$8*E6</f>
        <v>1.3677598177083332</v>
      </c>
      <c r="G6">
        <f t="shared" si="0"/>
        <v>7.7506389670138889</v>
      </c>
      <c r="H6" s="51">
        <f t="shared" ref="H6" si="1">H5+(E6-F6)</f>
        <v>1011.6110556336805</v>
      </c>
      <c r="J6" s="48"/>
    </row>
    <row r="7" spans="1:11" ht="15.75" x14ac:dyDescent="0.25">
      <c r="A7" s="35">
        <v>44838</v>
      </c>
      <c r="B7">
        <f>$K$3</f>
        <v>500</v>
      </c>
      <c r="C7">
        <f>VLOOKUP(B7,'Paybill Charges'!A:K,10,TRUE)</f>
        <v>23</v>
      </c>
      <c r="G7">
        <f t="shared" si="0"/>
        <v>0</v>
      </c>
      <c r="H7" s="51">
        <f t="shared" ref="H7" si="2">H6+B7</f>
        <v>1511.6110556336805</v>
      </c>
      <c r="J7" s="48" t="s">
        <v>58</v>
      </c>
      <c r="K7" s="50">
        <v>0.109</v>
      </c>
    </row>
    <row r="8" spans="1:11" ht="15.75" x14ac:dyDescent="0.25">
      <c r="A8" s="35">
        <v>44866</v>
      </c>
      <c r="E8">
        <f>H7*($K$7/12)</f>
        <v>13.730467088672599</v>
      </c>
      <c r="F8">
        <f>$K$8*E8</f>
        <v>2.0595700633008898</v>
      </c>
      <c r="G8">
        <f t="shared" si="0"/>
        <v>11.670897025371708</v>
      </c>
      <c r="H8" s="51">
        <f t="shared" ref="H8" si="3">H7+(E8-F8)</f>
        <v>1523.2819526590522</v>
      </c>
      <c r="J8" s="48" t="s">
        <v>16</v>
      </c>
      <c r="K8" s="44">
        <v>0.15</v>
      </c>
    </row>
    <row r="9" spans="1:11" ht="15.75" x14ac:dyDescent="0.25">
      <c r="A9" s="35">
        <v>44869</v>
      </c>
      <c r="B9">
        <f>$K$3</f>
        <v>500</v>
      </c>
      <c r="C9">
        <f>VLOOKUP(B9,'Paybill Charges'!A:K,10,TRUE)</f>
        <v>23</v>
      </c>
      <c r="G9">
        <f t="shared" si="0"/>
        <v>0</v>
      </c>
      <c r="H9" s="51">
        <f t="shared" ref="H9" si="4">H8+B9</f>
        <v>2023.2819526590522</v>
      </c>
      <c r="J9" s="48"/>
      <c r="K9" s="44"/>
    </row>
    <row r="10" spans="1:11" ht="15.75" x14ac:dyDescent="0.25">
      <c r="A10" s="35">
        <v>44896</v>
      </c>
      <c r="E10">
        <f>H9*($K$7/12)</f>
        <v>18.378144403319727</v>
      </c>
      <c r="F10">
        <f>$K$8*E10</f>
        <v>2.7567216604979587</v>
      </c>
      <c r="G10">
        <f t="shared" si="0"/>
        <v>15.621422742821768</v>
      </c>
      <c r="H10" s="51">
        <f t="shared" ref="H10" si="5">H9+(E10-F10)</f>
        <v>2038.903375401874</v>
      </c>
      <c r="J10" s="48" t="s">
        <v>59</v>
      </c>
      <c r="K10" s="1">
        <f>VLOOKUP(K3,'Paybill Charges'!A:K,10,TRUE)</f>
        <v>23</v>
      </c>
    </row>
    <row r="11" spans="1:11" x14ac:dyDescent="0.25">
      <c r="A11" s="35">
        <v>44899</v>
      </c>
      <c r="B11">
        <f>$K$3</f>
        <v>500</v>
      </c>
      <c r="C11">
        <f>VLOOKUP(B11,'Paybill Charges'!A:K,10,TRUE)</f>
        <v>23</v>
      </c>
      <c r="G11">
        <f t="shared" si="0"/>
        <v>0</v>
      </c>
      <c r="H11" s="51">
        <f t="shared" ref="H11" si="6">H10+B11</f>
        <v>2538.9033754018737</v>
      </c>
    </row>
    <row r="12" spans="1:11" x14ac:dyDescent="0.25">
      <c r="A12" s="35">
        <v>44927</v>
      </c>
      <c r="E12">
        <f>H11*($K$7/12)</f>
        <v>23.061705659900355</v>
      </c>
      <c r="F12">
        <f>$K$8*E12</f>
        <v>3.4592558489850531</v>
      </c>
      <c r="G12">
        <f t="shared" si="0"/>
        <v>19.602449810915303</v>
      </c>
      <c r="H12" s="51">
        <f>H11+(E12-F12)</f>
        <v>2558.5058252127892</v>
      </c>
    </row>
    <row r="13" spans="1:11" x14ac:dyDescent="0.25">
      <c r="A13" s="35">
        <v>44930</v>
      </c>
      <c r="B13">
        <f>$K$3</f>
        <v>500</v>
      </c>
      <c r="C13">
        <f>VLOOKUP(B13,'Paybill Charges'!A:K,10,TRUE)</f>
        <v>23</v>
      </c>
      <c r="G13">
        <f t="shared" si="0"/>
        <v>0</v>
      </c>
      <c r="H13" s="51">
        <f t="shared" ref="H13" si="7">H12+B13</f>
        <v>3058.5058252127892</v>
      </c>
      <c r="K13" s="45"/>
    </row>
    <row r="14" spans="1:11" x14ac:dyDescent="0.25">
      <c r="A14" s="35">
        <v>44958</v>
      </c>
      <c r="E14">
        <f>H13*($K$7/12)</f>
        <v>27.781427912349503</v>
      </c>
      <c r="F14">
        <f>$K$8*E14</f>
        <v>4.1672141868524255</v>
      </c>
      <c r="G14">
        <f t="shared" si="0"/>
        <v>23.614213725497077</v>
      </c>
      <c r="H14" s="51">
        <f t="shared" ref="H14" si="8">H13+(E14-F14)</f>
        <v>3082.1200389382861</v>
      </c>
    </row>
    <row r="15" spans="1:11" x14ac:dyDescent="0.25">
      <c r="A15" s="35">
        <v>44961</v>
      </c>
      <c r="B15">
        <f>$K$3</f>
        <v>500</v>
      </c>
      <c r="C15">
        <f>VLOOKUP(B15,'Paybill Charges'!A:K,10,TRUE)</f>
        <v>23</v>
      </c>
      <c r="G15">
        <f t="shared" si="0"/>
        <v>0</v>
      </c>
      <c r="H15" s="51">
        <f t="shared" ref="H15" si="9">H14+B15</f>
        <v>3582.1200389382861</v>
      </c>
    </row>
    <row r="16" spans="1:11" x14ac:dyDescent="0.25">
      <c r="A16" s="35">
        <v>44986</v>
      </c>
      <c r="E16">
        <f>H15*($K$7/12)</f>
        <v>32.537590353689431</v>
      </c>
      <c r="F16">
        <f>$K$8*E16</f>
        <v>4.8806385530534149</v>
      </c>
      <c r="G16">
        <f t="shared" si="0"/>
        <v>27.656951800636016</v>
      </c>
      <c r="H16" s="51">
        <f t="shared" ref="H16" si="10">H15+(E16-F16)</f>
        <v>3609.776990738922</v>
      </c>
    </row>
    <row r="17" spans="1:8" x14ac:dyDescent="0.25">
      <c r="A17" s="35">
        <v>44989</v>
      </c>
      <c r="B17">
        <f>$K$3</f>
        <v>500</v>
      </c>
      <c r="C17">
        <f>VLOOKUP(B17,'Paybill Charges'!A:K,10,TRUE)</f>
        <v>23</v>
      </c>
      <c r="G17">
        <f t="shared" si="0"/>
        <v>0</v>
      </c>
      <c r="H17" s="51">
        <f t="shared" ref="H17" si="11">H16+B17</f>
        <v>4109.776990738922</v>
      </c>
    </row>
    <row r="18" spans="1:8" x14ac:dyDescent="0.25">
      <c r="A18" s="35">
        <v>45017</v>
      </c>
      <c r="E18">
        <f>H17*($K$7/12)</f>
        <v>37.330474332545208</v>
      </c>
      <c r="F18">
        <f>$K$8*E18</f>
        <v>5.5995711498817808</v>
      </c>
      <c r="G18">
        <f t="shared" si="0"/>
        <v>31.730903182663425</v>
      </c>
      <c r="H18" s="51">
        <f t="shared" ref="H18" si="12">H17+(E18-F18)</f>
        <v>4141.5078939215855</v>
      </c>
    </row>
    <row r="19" spans="1:8" x14ac:dyDescent="0.25">
      <c r="A19" s="35">
        <v>45020</v>
      </c>
      <c r="B19">
        <f>$K$3</f>
        <v>500</v>
      </c>
      <c r="C19">
        <f>VLOOKUP(B19,'Paybill Charges'!A:K,10,TRUE)</f>
        <v>23</v>
      </c>
      <c r="G19">
        <f t="shared" si="0"/>
        <v>0</v>
      </c>
      <c r="H19" s="51">
        <f t="shared" ref="H19" si="13">H18+B19</f>
        <v>4641.5078939215855</v>
      </c>
    </row>
    <row r="20" spans="1:8" x14ac:dyDescent="0.25">
      <c r="A20" s="35">
        <v>45047</v>
      </c>
      <c r="E20">
        <f>H19*($K$7/12)</f>
        <v>42.160363369787738</v>
      </c>
      <c r="F20">
        <f>$K$8*E20</f>
        <v>6.3240545054681609</v>
      </c>
      <c r="G20">
        <f t="shared" si="0"/>
        <v>35.836308864319577</v>
      </c>
      <c r="H20" s="51">
        <f t="shared" ref="H20" si="14">H19+(E20-F20)</f>
        <v>4677.3442027859055</v>
      </c>
    </row>
    <row r="21" spans="1:8" x14ac:dyDescent="0.25">
      <c r="A21" s="35">
        <v>45050</v>
      </c>
      <c r="B21">
        <f>$K$3</f>
        <v>500</v>
      </c>
      <c r="C21">
        <f>VLOOKUP(B21,'Paybill Charges'!A:K,10,TRUE)</f>
        <v>23</v>
      </c>
      <c r="G21">
        <f t="shared" si="0"/>
        <v>0</v>
      </c>
      <c r="H21" s="51">
        <f t="shared" ref="H21" si="15">H20+B21</f>
        <v>5177.3442027859055</v>
      </c>
    </row>
    <row r="22" spans="1:8" x14ac:dyDescent="0.25">
      <c r="A22" s="35">
        <v>45078</v>
      </c>
      <c r="E22">
        <f>H21*($K$7/12)</f>
        <v>47.027543175305311</v>
      </c>
      <c r="F22">
        <f>$K$8*E22</f>
        <v>7.0541314762957965</v>
      </c>
      <c r="G22">
        <f t="shared" si="0"/>
        <v>39.973411699009517</v>
      </c>
      <c r="H22" s="51">
        <f t="shared" ref="H22" si="16">H21+(E22-F22)</f>
        <v>5217.3176144849149</v>
      </c>
    </row>
    <row r="23" spans="1:8" x14ac:dyDescent="0.25">
      <c r="A23" s="35">
        <v>45081</v>
      </c>
      <c r="B23">
        <f>$K$3</f>
        <v>500</v>
      </c>
      <c r="C23">
        <f>VLOOKUP(B23,'Paybill Charges'!A:K,10,TRUE)</f>
        <v>23</v>
      </c>
      <c r="G23">
        <f t="shared" si="0"/>
        <v>0</v>
      </c>
      <c r="H23" s="51">
        <f t="shared" ref="H23" si="17">H22+B23</f>
        <v>5717.3176144849149</v>
      </c>
    </row>
    <row r="24" spans="1:8" x14ac:dyDescent="0.25">
      <c r="A24" s="35">
        <v>45108</v>
      </c>
      <c r="E24">
        <f>H23*($K$7/12)</f>
        <v>51.932301664904649</v>
      </c>
      <c r="F24">
        <f>$K$8*E24</f>
        <v>7.7898452497356967</v>
      </c>
      <c r="G24">
        <f t="shared" si="0"/>
        <v>44.142456415168951</v>
      </c>
      <c r="H24" s="51">
        <f t="shared" ref="H24" si="18">H23+(E24-F24)</f>
        <v>5761.4600709000842</v>
      </c>
    </row>
    <row r="25" spans="1:8" x14ac:dyDescent="0.25">
      <c r="A25" s="35">
        <v>45111</v>
      </c>
      <c r="B25">
        <f>$K$3</f>
        <v>500</v>
      </c>
      <c r="C25">
        <f>VLOOKUP(B25,'Paybill Charges'!A:K,10,TRUE)</f>
        <v>23</v>
      </c>
      <c r="G25">
        <f t="shared" si="0"/>
        <v>0</v>
      </c>
      <c r="H25" s="51">
        <f t="shared" ref="H25" si="19">H24+B25</f>
        <v>6261.4600709000842</v>
      </c>
    </row>
    <row r="26" spans="1:8" x14ac:dyDescent="0.25">
      <c r="A26" s="35">
        <v>45139</v>
      </c>
      <c r="E26">
        <f>H25*($K$7/12)</f>
        <v>56.874928977342435</v>
      </c>
      <c r="F26">
        <f>$K$8*E26</f>
        <v>8.5312393466013656</v>
      </c>
      <c r="G26">
        <f t="shared" si="0"/>
        <v>48.343689630741068</v>
      </c>
      <c r="H26" s="51">
        <f t="shared" ref="H26" si="20">H25+(E26-F26)</f>
        <v>6309.8037605308255</v>
      </c>
    </row>
    <row r="27" spans="1:8" x14ac:dyDescent="0.25">
      <c r="A27" s="35">
        <v>45142</v>
      </c>
      <c r="B27">
        <f>$K$3</f>
        <v>500</v>
      </c>
      <c r="C27">
        <f>VLOOKUP(B27,'Paybill Charges'!A:K,10,TRUE)</f>
        <v>23</v>
      </c>
      <c r="G27">
        <f t="shared" si="0"/>
        <v>0</v>
      </c>
      <c r="H27" s="51">
        <f t="shared" ref="H27" si="21">H26+B27</f>
        <v>6809.8037605308255</v>
      </c>
    </row>
    <row r="28" spans="1:8" x14ac:dyDescent="0.25">
      <c r="A28" s="35">
        <v>45170</v>
      </c>
      <c r="E28">
        <f>H27*($K$7/12)</f>
        <v>61.855717491488335</v>
      </c>
      <c r="F28">
        <f>$K$8*E28</f>
        <v>9.2783576237232506</v>
      </c>
      <c r="G28">
        <f t="shared" si="0"/>
        <v>52.577359867765082</v>
      </c>
      <c r="H28" s="51">
        <f t="shared" ref="H28" si="22">H27+(E28-F28)</f>
        <v>6862.3811203985906</v>
      </c>
    </row>
    <row r="29" spans="1:8" x14ac:dyDescent="0.25">
      <c r="A29" s="35">
        <v>45173</v>
      </c>
      <c r="B29">
        <f>$K$3</f>
        <v>500</v>
      </c>
      <c r="C29">
        <f>VLOOKUP(B29,'Paybill Charges'!A:K,10,TRUE)</f>
        <v>23</v>
      </c>
      <c r="G29">
        <f t="shared" si="0"/>
        <v>0</v>
      </c>
      <c r="H29" s="51">
        <f t="shared" ref="H29" si="23">H28+B29</f>
        <v>7362.3811203985906</v>
      </c>
    </row>
    <row r="30" spans="1:8" x14ac:dyDescent="0.25">
      <c r="A30" s="35">
        <v>45200</v>
      </c>
      <c r="E30">
        <f>H29*($K$7/12)</f>
        <v>66.87496184362054</v>
      </c>
      <c r="F30">
        <f>$K$8*E30</f>
        <v>10.031244276543081</v>
      </c>
      <c r="G30">
        <f t="shared" si="0"/>
        <v>56.843717567077462</v>
      </c>
      <c r="H30" s="51">
        <f t="shared" ref="H30" si="24">H29+(E30-F30)</f>
        <v>7419.2248379656685</v>
      </c>
    </row>
    <row r="31" spans="1:8" x14ac:dyDescent="0.25">
      <c r="A31" s="35">
        <v>45203</v>
      </c>
      <c r="B31">
        <f>$K$3</f>
        <v>500</v>
      </c>
      <c r="C31">
        <f>VLOOKUP(B31,'Paybill Charges'!A:K,10,TRUE)</f>
        <v>23</v>
      </c>
      <c r="G31">
        <f t="shared" si="0"/>
        <v>0</v>
      </c>
      <c r="H31" s="51">
        <f t="shared" ref="H31" si="25">H30+B31</f>
        <v>7919.2248379656685</v>
      </c>
    </row>
    <row r="32" spans="1:8" x14ac:dyDescent="0.25">
      <c r="A32" s="35">
        <v>45231</v>
      </c>
      <c r="E32">
        <f>H31*($K$7/12)</f>
        <v>71.932958944854832</v>
      </c>
      <c r="F32">
        <f>$K$8*E32</f>
        <v>10.789943841728224</v>
      </c>
      <c r="G32">
        <f t="shared" si="0"/>
        <v>61.143015103126608</v>
      </c>
      <c r="H32" s="51">
        <f t="shared" ref="H32" si="26">H31+(E32-F32)</f>
        <v>7980.3678530687948</v>
      </c>
    </row>
    <row r="33" spans="1:8" x14ac:dyDescent="0.25">
      <c r="A33" s="35">
        <v>45234</v>
      </c>
      <c r="B33">
        <f>$K$3</f>
        <v>500</v>
      </c>
      <c r="C33">
        <f>VLOOKUP(B33,'Paybill Charges'!A:K,10,TRUE)</f>
        <v>23</v>
      </c>
      <c r="G33">
        <f t="shared" si="0"/>
        <v>0</v>
      </c>
      <c r="H33" s="51">
        <f t="shared" ref="H33" si="27">H32+B33</f>
        <v>8480.3678530687939</v>
      </c>
    </row>
    <row r="34" spans="1:8" x14ac:dyDescent="0.25">
      <c r="A34" s="35">
        <v>45261</v>
      </c>
      <c r="E34">
        <f>H33*($K$7/12)</f>
        <v>77.030007998708214</v>
      </c>
      <c r="F34">
        <f>$K$8*E34</f>
        <v>11.554501199806232</v>
      </c>
      <c r="G34">
        <f t="shared" si="0"/>
        <v>65.475506798901989</v>
      </c>
      <c r="H34" s="51">
        <f t="shared" ref="H34" si="28">H33+(E34-F34)</f>
        <v>8545.8433598676966</v>
      </c>
    </row>
    <row r="35" spans="1:8" x14ac:dyDescent="0.25">
      <c r="A35" s="35">
        <v>45264</v>
      </c>
      <c r="B35">
        <f>$K$3</f>
        <v>500</v>
      </c>
      <c r="C35">
        <f>VLOOKUP(B35,'Paybill Charges'!A:K,10,TRUE)</f>
        <v>23</v>
      </c>
      <c r="G35">
        <f t="shared" si="0"/>
        <v>0</v>
      </c>
      <c r="H35" s="51">
        <f t="shared" ref="H35" si="29">H34+B35</f>
        <v>9045.8433598676966</v>
      </c>
    </row>
    <row r="36" spans="1:8" x14ac:dyDescent="0.25">
      <c r="A36" s="35">
        <v>45292</v>
      </c>
      <c r="E36">
        <f>H35*($K$7/12)</f>
        <v>82.166410518798244</v>
      </c>
      <c r="F36">
        <f>$K$8*E36</f>
        <v>12.324961577819737</v>
      </c>
      <c r="G36">
        <f t="shared" si="0"/>
        <v>69.841448940978509</v>
      </c>
      <c r="H36" s="51">
        <f>H35+(E36-F36)</f>
        <v>9115.6848088086754</v>
      </c>
    </row>
    <row r="37" spans="1:8" x14ac:dyDescent="0.25">
      <c r="A37" s="35">
        <v>45295</v>
      </c>
      <c r="B37">
        <f>$K$3</f>
        <v>500</v>
      </c>
      <c r="C37">
        <f>VLOOKUP(B37,'Paybill Charges'!A:K,10,TRUE)</f>
        <v>23</v>
      </c>
      <c r="G37">
        <f t="shared" si="0"/>
        <v>0</v>
      </c>
      <c r="H37" s="51">
        <f t="shared" ref="H37" si="30">H36+B37</f>
        <v>9615.6848088086754</v>
      </c>
    </row>
    <row r="38" spans="1:8" x14ac:dyDescent="0.25">
      <c r="A38" s="35">
        <v>45323</v>
      </c>
      <c r="E38">
        <f>H37*($K$7/12)</f>
        <v>87.342470346678809</v>
      </c>
      <c r="F38">
        <f>$K$8*E38</f>
        <v>13.101370552001821</v>
      </c>
      <c r="G38">
        <f t="shared" si="0"/>
        <v>74.241099794676984</v>
      </c>
      <c r="H38" s="51">
        <f t="shared" ref="H38" si="31">H37+(E38-F38)</f>
        <v>9689.9259086033526</v>
      </c>
    </row>
    <row r="39" spans="1:8" x14ac:dyDescent="0.25">
      <c r="A39" s="35">
        <v>45326</v>
      </c>
      <c r="B39">
        <f>$K$3</f>
        <v>500</v>
      </c>
      <c r="C39">
        <f>VLOOKUP(B39,'Paybill Charges'!A:K,10,TRUE)</f>
        <v>23</v>
      </c>
      <c r="G39">
        <f t="shared" si="0"/>
        <v>0</v>
      </c>
      <c r="H39" s="51">
        <f t="shared" ref="H39" si="32">H38+B39</f>
        <v>10189.925908603353</v>
      </c>
    </row>
    <row r="40" spans="1:8" x14ac:dyDescent="0.25">
      <c r="A40" s="35">
        <v>45352</v>
      </c>
      <c r="E40">
        <f>H39*($K$7/12)</f>
        <v>92.558493669813785</v>
      </c>
      <c r="F40">
        <f>$K$8*E40</f>
        <v>13.883774050472068</v>
      </c>
      <c r="G40">
        <f t="shared" si="0"/>
        <v>78.674719619341715</v>
      </c>
      <c r="H40" s="51">
        <f t="shared" ref="H40" si="33">H39+(E40-F40)</f>
        <v>10268.600628222694</v>
      </c>
    </row>
    <row r="41" spans="1:8" x14ac:dyDescent="0.25">
      <c r="A41" s="35">
        <v>45355</v>
      </c>
      <c r="B41">
        <f>$K$3</f>
        <v>500</v>
      </c>
      <c r="C41">
        <f>VLOOKUP(B41,'Paybill Charges'!A:K,10,TRUE)</f>
        <v>23</v>
      </c>
      <c r="G41">
        <f t="shared" si="0"/>
        <v>0</v>
      </c>
      <c r="H41" s="51">
        <f t="shared" ref="H41" si="34">H40+B41</f>
        <v>10768.600628222694</v>
      </c>
    </row>
    <row r="42" spans="1:8" x14ac:dyDescent="0.25">
      <c r="A42" s="35">
        <v>45383</v>
      </c>
      <c r="E42">
        <f>H41*($K$7/12)</f>
        <v>97.814789039689472</v>
      </c>
      <c r="F42">
        <f>$K$8*E42</f>
        <v>14.67221835595342</v>
      </c>
      <c r="G42">
        <f t="shared" si="0"/>
        <v>83.142570683736054</v>
      </c>
      <c r="H42" s="51">
        <f t="shared" ref="H42" si="35">H41+(E42-F42)</f>
        <v>10851.74319890643</v>
      </c>
    </row>
    <row r="43" spans="1:8" x14ac:dyDescent="0.25">
      <c r="A43" s="35">
        <v>45386</v>
      </c>
      <c r="B43">
        <f>$K$3</f>
        <v>500</v>
      </c>
      <c r="C43">
        <f>VLOOKUP(B43,'Paybill Charges'!A:K,10,TRUE)</f>
        <v>23</v>
      </c>
      <c r="G43">
        <f t="shared" si="0"/>
        <v>0</v>
      </c>
      <c r="H43" s="51">
        <f t="shared" ref="H43" si="36">H42+B43</f>
        <v>11351.74319890643</v>
      </c>
    </row>
    <row r="44" spans="1:8" x14ac:dyDescent="0.25">
      <c r="A44" s="35">
        <v>45413</v>
      </c>
      <c r="E44">
        <f>H43*($K$7/12)</f>
        <v>103.11166739006674</v>
      </c>
      <c r="F44">
        <f>$K$8*E44</f>
        <v>15.466750108510011</v>
      </c>
      <c r="G44">
        <f t="shared" si="0"/>
        <v>87.644917281556729</v>
      </c>
      <c r="H44" s="51">
        <f t="shared" ref="H44" si="37">H43+(E44-F44)</f>
        <v>11439.388116187987</v>
      </c>
    </row>
    <row r="45" spans="1:8" x14ac:dyDescent="0.25">
      <c r="A45" s="35">
        <v>45416</v>
      </c>
      <c r="B45">
        <f>$K$3</f>
        <v>500</v>
      </c>
      <c r="C45">
        <f>VLOOKUP(B45,'Paybill Charges'!A:K,10,TRUE)</f>
        <v>23</v>
      </c>
      <c r="G45">
        <f t="shared" si="0"/>
        <v>0</v>
      </c>
      <c r="H45" s="51">
        <f t="shared" ref="H45" si="38">H44+B45</f>
        <v>11939.388116187987</v>
      </c>
    </row>
    <row r="46" spans="1:8" x14ac:dyDescent="0.25">
      <c r="A46" s="35">
        <v>45444</v>
      </c>
      <c r="E46">
        <f>H45*($K$7/12)</f>
        <v>108.44944205537422</v>
      </c>
      <c r="F46">
        <f>$K$8*E46</f>
        <v>16.267416308306132</v>
      </c>
      <c r="G46">
        <f t="shared" si="0"/>
        <v>92.182025747068082</v>
      </c>
      <c r="H46" s="51">
        <f t="shared" ref="H46" si="39">H45+(E46-F46)</f>
        <v>12031.570141935055</v>
      </c>
    </row>
    <row r="47" spans="1:8" x14ac:dyDescent="0.25">
      <c r="A47" s="35">
        <v>45447</v>
      </c>
      <c r="B47">
        <f>$K$3</f>
        <v>500</v>
      </c>
      <c r="C47">
        <f>VLOOKUP(B47,'Paybill Charges'!A:K,10,TRUE)</f>
        <v>23</v>
      </c>
      <c r="G47">
        <f t="shared" si="0"/>
        <v>0</v>
      </c>
      <c r="H47" s="51">
        <f t="shared" ref="H47" si="40">H46+B47</f>
        <v>12531.570141935055</v>
      </c>
    </row>
    <row r="48" spans="1:8" x14ac:dyDescent="0.25">
      <c r="A48" s="35">
        <v>45474</v>
      </c>
      <c r="E48">
        <f>H47*($K$7/12)</f>
        <v>113.82842878924343</v>
      </c>
      <c r="F48">
        <f>$K$8*E48</f>
        <v>17.074264318386515</v>
      </c>
      <c r="G48">
        <f t="shared" si="0"/>
        <v>96.754164470856921</v>
      </c>
      <c r="H48" s="51">
        <f t="shared" ref="H48" si="41">H47+(E48-F48)</f>
        <v>12628.324306405912</v>
      </c>
    </row>
    <row r="49" spans="1:8" x14ac:dyDescent="0.25">
      <c r="A49" s="35">
        <v>45477</v>
      </c>
      <c r="B49">
        <f>$K$3</f>
        <v>500</v>
      </c>
      <c r="C49">
        <f>VLOOKUP(B49,'Paybill Charges'!A:K,10,TRUE)</f>
        <v>23</v>
      </c>
      <c r="G49">
        <f t="shared" si="0"/>
        <v>0</v>
      </c>
      <c r="H49" s="51">
        <f t="shared" ref="H49" si="42">H48+B49</f>
        <v>13128.324306405912</v>
      </c>
    </row>
    <row r="50" spans="1:8" x14ac:dyDescent="0.25">
      <c r="A50" s="35">
        <v>45505</v>
      </c>
      <c r="E50">
        <f>H49*($K$7/12)</f>
        <v>119.24894578318704</v>
      </c>
      <c r="F50">
        <f>$K$8*E50</f>
        <v>17.887341867478057</v>
      </c>
      <c r="G50">
        <f t="shared" si="0"/>
        <v>101.36160391570898</v>
      </c>
      <c r="H50" s="51">
        <f t="shared" ref="H50" si="43">H49+(E50-F50)</f>
        <v>13229.685910321621</v>
      </c>
    </row>
    <row r="51" spans="1:8" x14ac:dyDescent="0.25">
      <c r="A51" s="35">
        <v>45508</v>
      </c>
      <c r="B51">
        <f>$K$3</f>
        <v>500</v>
      </c>
      <c r="C51">
        <f>VLOOKUP(B51,'Paybill Charges'!A:K,10,TRUE)</f>
        <v>23</v>
      </c>
      <c r="G51">
        <f t="shared" si="0"/>
        <v>0</v>
      </c>
      <c r="H51" s="51">
        <f t="shared" ref="H51" si="44">H50+B51</f>
        <v>13729.685910321621</v>
      </c>
    </row>
    <row r="52" spans="1:8" x14ac:dyDescent="0.25">
      <c r="A52" s="35">
        <v>45536</v>
      </c>
      <c r="E52">
        <f>H51*($K$7/12)</f>
        <v>124.7113136854214</v>
      </c>
      <c r="F52">
        <f>$K$8*E52</f>
        <v>18.706697052813208</v>
      </c>
      <c r="G52">
        <f t="shared" si="0"/>
        <v>106.00461663260819</v>
      </c>
      <c r="H52" s="51">
        <f t="shared" ref="H52" si="45">H51+(E52-F52)</f>
        <v>13835.690526954229</v>
      </c>
    </row>
    <row r="53" spans="1:8" x14ac:dyDescent="0.25">
      <c r="A53" s="35">
        <v>45539</v>
      </c>
      <c r="B53">
        <f>$K$3</f>
        <v>500</v>
      </c>
      <c r="C53">
        <f>VLOOKUP(B53,'Paybill Charges'!A:K,10,TRUE)</f>
        <v>23</v>
      </c>
      <c r="G53">
        <f t="shared" si="0"/>
        <v>0</v>
      </c>
      <c r="H53" s="51">
        <f t="shared" ref="H53" si="46">H52+B53</f>
        <v>14335.690526954229</v>
      </c>
    </row>
    <row r="54" spans="1:8" x14ac:dyDescent="0.25">
      <c r="A54" s="35">
        <v>45566</v>
      </c>
      <c r="E54">
        <f>H53*($K$7/12)</f>
        <v>130.21585561983426</v>
      </c>
      <c r="F54">
        <f>$K$8*E54</f>
        <v>19.532378342975139</v>
      </c>
      <c r="G54">
        <f t="shared" si="0"/>
        <v>110.68347727685912</v>
      </c>
      <c r="H54" s="51">
        <f t="shared" ref="H54" si="47">H53+(E54-F54)</f>
        <v>14446.374004231089</v>
      </c>
    </row>
    <row r="55" spans="1:8" x14ac:dyDescent="0.25">
      <c r="A55" s="35">
        <v>45569</v>
      </c>
      <c r="B55">
        <f>$K$3</f>
        <v>500</v>
      </c>
      <c r="C55">
        <f>VLOOKUP(B55,'Paybill Charges'!A:K,10,TRUE)</f>
        <v>23</v>
      </c>
      <c r="G55">
        <f t="shared" si="0"/>
        <v>0</v>
      </c>
      <c r="H55" s="51">
        <f t="shared" ref="H55" si="48">H54+B55</f>
        <v>14946.374004231089</v>
      </c>
    </row>
    <row r="56" spans="1:8" x14ac:dyDescent="0.25">
      <c r="A56" s="35">
        <v>45597</v>
      </c>
      <c r="E56">
        <f>H55*($K$7/12)</f>
        <v>135.76289720509908</v>
      </c>
      <c r="F56">
        <f>$K$8*E56</f>
        <v>20.364434580764861</v>
      </c>
      <c r="G56">
        <f t="shared" si="0"/>
        <v>115.39846262433421</v>
      </c>
      <c r="H56" s="51">
        <f t="shared" ref="H56" si="49">H55+(E56-F56)</f>
        <v>15061.772466855424</v>
      </c>
    </row>
    <row r="57" spans="1:8" x14ac:dyDescent="0.25">
      <c r="A57" s="35">
        <v>45600</v>
      </c>
      <c r="B57">
        <f>$K$3</f>
        <v>500</v>
      </c>
      <c r="C57">
        <f>VLOOKUP(B57,'Paybill Charges'!A:K,10,TRUE)</f>
        <v>23</v>
      </c>
      <c r="G57">
        <f t="shared" si="0"/>
        <v>0</v>
      </c>
      <c r="H57" s="51">
        <f t="shared" ref="H57" si="50">H56+B57</f>
        <v>15561.772466855424</v>
      </c>
    </row>
    <row r="58" spans="1:8" x14ac:dyDescent="0.25">
      <c r="A58" s="35">
        <v>45627</v>
      </c>
      <c r="E58">
        <f>H57*($K$7/12)</f>
        <v>141.35276657393678</v>
      </c>
      <c r="F58">
        <f>$K$8*E58</f>
        <v>21.202914986090516</v>
      </c>
      <c r="G58">
        <f t="shared" si="0"/>
        <v>120.14985158784626</v>
      </c>
      <c r="H58" s="51">
        <f t="shared" ref="H58" si="51">H57+(E58-F58)</f>
        <v>15681.92231844327</v>
      </c>
    </row>
    <row r="59" spans="1:8" x14ac:dyDescent="0.25">
      <c r="A59" s="35">
        <v>45630</v>
      </c>
      <c r="B59">
        <f>$K$3</f>
        <v>500</v>
      </c>
      <c r="C59">
        <f>VLOOKUP(B59,'Paybill Charges'!A:K,10,TRUE)</f>
        <v>23</v>
      </c>
      <c r="G59">
        <f t="shared" si="0"/>
        <v>0</v>
      </c>
      <c r="H59" s="51">
        <f t="shared" ref="H59" si="52">H58+B59</f>
        <v>16181.92231844327</v>
      </c>
    </row>
    <row r="60" spans="1:8" x14ac:dyDescent="0.25">
      <c r="A60" s="35">
        <v>45658</v>
      </c>
      <c r="E60">
        <f>H59*($K$7/12)</f>
        <v>146.98579439252637</v>
      </c>
      <c r="F60">
        <f>$K$8*E60</f>
        <v>22.047869158878957</v>
      </c>
      <c r="G60">
        <f t="shared" si="0"/>
        <v>124.93792523364742</v>
      </c>
      <c r="H60" s="51">
        <f>H59+(E60-F60)</f>
        <v>16306.860243676918</v>
      </c>
    </row>
    <row r="61" spans="1:8" x14ac:dyDescent="0.25">
      <c r="A61" s="35">
        <v>45661</v>
      </c>
      <c r="B61">
        <f>$K$3</f>
        <v>500</v>
      </c>
      <c r="C61">
        <f>VLOOKUP(B61,'Paybill Charges'!A:K,10,TRUE)</f>
        <v>23</v>
      </c>
      <c r="G61">
        <f t="shared" si="0"/>
        <v>0</v>
      </c>
      <c r="H61" s="51">
        <f t="shared" ref="H61" si="53">H60+B61</f>
        <v>16806.860243676918</v>
      </c>
    </row>
    <row r="62" spans="1:8" x14ac:dyDescent="0.25">
      <c r="A62" s="35">
        <v>45689</v>
      </c>
      <c r="E62">
        <f>H61*($K$7/12)</f>
        <v>152.66231388006534</v>
      </c>
      <c r="F62">
        <f>$K$8*E62</f>
        <v>22.8993470820098</v>
      </c>
      <c r="G62">
        <f t="shared" si="0"/>
        <v>129.76296679805554</v>
      </c>
      <c r="H62" s="51">
        <f t="shared" ref="H62" si="54">H61+(E62-F62)</f>
        <v>16936.623210474972</v>
      </c>
    </row>
    <row r="63" spans="1:8" x14ac:dyDescent="0.25">
      <c r="A63" s="35">
        <v>45692</v>
      </c>
      <c r="B63">
        <f>$K$3</f>
        <v>500</v>
      </c>
      <c r="C63">
        <f>VLOOKUP(B63,'Paybill Charges'!A:K,10,TRUE)</f>
        <v>23</v>
      </c>
      <c r="G63">
        <f t="shared" si="0"/>
        <v>0</v>
      </c>
      <c r="H63" s="51">
        <f t="shared" ref="H63" si="55">H62+B63</f>
        <v>17436.623210474972</v>
      </c>
    </row>
    <row r="64" spans="1:8" x14ac:dyDescent="0.25">
      <c r="A64" s="35">
        <v>45717</v>
      </c>
      <c r="E64">
        <f>H63*($K$7/12)</f>
        <v>158.38266082848102</v>
      </c>
      <c r="F64">
        <f>$K$8*E64</f>
        <v>23.757399124272151</v>
      </c>
      <c r="G64">
        <f t="shared" si="0"/>
        <v>134.62526170420887</v>
      </c>
      <c r="H64" s="51">
        <f t="shared" ref="H64" si="56">H63+(E64-F64)</f>
        <v>17571.248472179181</v>
      </c>
    </row>
    <row r="65" spans="1:8" x14ac:dyDescent="0.25">
      <c r="A65" s="35">
        <v>45720</v>
      </c>
      <c r="B65">
        <f>$K$3</f>
        <v>500</v>
      </c>
      <c r="C65">
        <f>VLOOKUP(B65,'Paybill Charges'!A:K,10,TRUE)</f>
        <v>23</v>
      </c>
      <c r="G65">
        <f t="shared" si="0"/>
        <v>0</v>
      </c>
      <c r="H65" s="51">
        <f t="shared" ref="H65" si="57">H64+B65</f>
        <v>18071.248472179181</v>
      </c>
    </row>
    <row r="66" spans="1:8" x14ac:dyDescent="0.25">
      <c r="A66" s="35">
        <v>45748</v>
      </c>
      <c r="E66">
        <f>H65*($K$7/12)</f>
        <v>164.14717362229425</v>
      </c>
      <c r="F66">
        <f>$K$8*E66</f>
        <v>24.622076043344137</v>
      </c>
      <c r="G66">
        <f t="shared" si="0"/>
        <v>139.52509757895012</v>
      </c>
      <c r="H66" s="51">
        <f t="shared" ref="H66" si="58">H65+(E66-F66)</f>
        <v>18210.77356975813</v>
      </c>
    </row>
    <row r="67" spans="1:8" x14ac:dyDescent="0.25">
      <c r="A67" s="35">
        <v>45751</v>
      </c>
      <c r="B67">
        <f>$K$3</f>
        <v>500</v>
      </c>
      <c r="C67">
        <f>VLOOKUP(B67,'Paybill Charges'!A:K,10,TRUE)</f>
        <v>23</v>
      </c>
      <c r="G67">
        <f t="shared" si="0"/>
        <v>0</v>
      </c>
      <c r="H67" s="51">
        <f t="shared" ref="H67" si="59">H66+B67</f>
        <v>18710.77356975813</v>
      </c>
    </row>
    <row r="68" spans="1:8" x14ac:dyDescent="0.25">
      <c r="A68" s="35">
        <v>45778</v>
      </c>
      <c r="E68">
        <f>H65*($K$7/12)</f>
        <v>164.14717362229425</v>
      </c>
      <c r="F68">
        <f>$K$8*E68</f>
        <v>24.622076043344137</v>
      </c>
      <c r="G68">
        <f t="shared" si="0"/>
        <v>139.52509757895012</v>
      </c>
      <c r="H68" s="51">
        <f t="shared" ref="H68" si="60">H67+(E68-F68)</f>
        <v>18850.29866733708</v>
      </c>
    </row>
    <row r="69" spans="1:8" x14ac:dyDescent="0.25">
      <c r="A69" s="35">
        <v>45781</v>
      </c>
      <c r="B69">
        <f>$K$3</f>
        <v>500</v>
      </c>
      <c r="C69">
        <f>VLOOKUP(B69,'Paybill Charges'!A:K,10,TRUE)</f>
        <v>23</v>
      </c>
      <c r="G69">
        <f t="shared" ref="G69:G80" si="61">E69-F69</f>
        <v>0</v>
      </c>
      <c r="H69" s="51">
        <f t="shared" ref="H69" si="62">H68+B69</f>
        <v>19350.29866733708</v>
      </c>
    </row>
    <row r="70" spans="1:8" x14ac:dyDescent="0.25">
      <c r="A70" s="35">
        <v>45809</v>
      </c>
      <c r="E70">
        <f>H69*($K$7/12)</f>
        <v>175.76521289497848</v>
      </c>
      <c r="F70">
        <f>$K$8*E70</f>
        <v>26.364781934246771</v>
      </c>
      <c r="G70">
        <f t="shared" si="61"/>
        <v>149.40043096073171</v>
      </c>
      <c r="H70" s="51">
        <f t="shared" ref="H70" si="63">H69+(E70-F70)</f>
        <v>19499.699098297813</v>
      </c>
    </row>
    <row r="71" spans="1:8" x14ac:dyDescent="0.25">
      <c r="A71" s="35">
        <v>45812</v>
      </c>
      <c r="B71">
        <f>$K$3</f>
        <v>500</v>
      </c>
      <c r="C71">
        <f>VLOOKUP(B71,'Paybill Charges'!A:K,10,TRUE)</f>
        <v>23</v>
      </c>
      <c r="G71">
        <f t="shared" si="61"/>
        <v>0</v>
      </c>
      <c r="H71" s="51">
        <f t="shared" ref="H71" si="64">H70+B71</f>
        <v>19999.699098297813</v>
      </c>
    </row>
    <row r="72" spans="1:8" x14ac:dyDescent="0.25">
      <c r="A72" s="35">
        <v>45839</v>
      </c>
      <c r="E72">
        <f>H71*($K$7/12)</f>
        <v>181.66393347620516</v>
      </c>
      <c r="F72">
        <f>$K$8*E72</f>
        <v>27.249590021430773</v>
      </c>
      <c r="G72">
        <f t="shared" si="61"/>
        <v>154.41434345477438</v>
      </c>
      <c r="H72" s="51">
        <f t="shared" ref="H72" si="65">H71+(E72-F72)</f>
        <v>20154.113441752586</v>
      </c>
    </row>
    <row r="73" spans="1:8" x14ac:dyDescent="0.25">
      <c r="A73" s="35">
        <v>45842</v>
      </c>
      <c r="B73">
        <f>$K$3</f>
        <v>500</v>
      </c>
      <c r="C73">
        <f>VLOOKUP(B73,'Paybill Charges'!A:K,10,TRUE)</f>
        <v>23</v>
      </c>
      <c r="G73">
        <f t="shared" si="61"/>
        <v>0</v>
      </c>
      <c r="H73" s="51">
        <f t="shared" ref="H73" si="66">H72+B73</f>
        <v>20654.113441752586</v>
      </c>
    </row>
    <row r="74" spans="1:8" x14ac:dyDescent="0.25">
      <c r="A74" s="35">
        <v>45870</v>
      </c>
      <c r="E74">
        <f>H73*($K$7/12)</f>
        <v>187.60819709591934</v>
      </c>
      <c r="F74">
        <f>$K$8*E74</f>
        <v>28.141229564387899</v>
      </c>
      <c r="G74">
        <f t="shared" si="61"/>
        <v>159.46696753153145</v>
      </c>
      <c r="H74" s="51">
        <f t="shared" ref="H74" si="67">H73+(E74-F74)</f>
        <v>20813.580409284117</v>
      </c>
    </row>
    <row r="75" spans="1:8" x14ac:dyDescent="0.25">
      <c r="A75" s="35">
        <v>45873</v>
      </c>
      <c r="B75">
        <f>$K$3</f>
        <v>500</v>
      </c>
      <c r="C75">
        <f>VLOOKUP(B75,'Paybill Charges'!A:K,10,TRUE)</f>
        <v>23</v>
      </c>
      <c r="G75">
        <f t="shared" si="61"/>
        <v>0</v>
      </c>
      <c r="H75" s="51">
        <f t="shared" ref="H75" si="68">H74+B75</f>
        <v>21313.580409284117</v>
      </c>
    </row>
    <row r="76" spans="1:8" x14ac:dyDescent="0.25">
      <c r="A76" s="35">
        <v>45901</v>
      </c>
      <c r="E76">
        <f>H75*($K$7/12)</f>
        <v>193.59835538433074</v>
      </c>
      <c r="F76">
        <f>$K$8*E76</f>
        <v>29.039753307649612</v>
      </c>
      <c r="G76">
        <f t="shared" si="61"/>
        <v>164.55860207668113</v>
      </c>
      <c r="H76" s="51">
        <f t="shared" ref="H76" si="69">H75+(E76-F76)</f>
        <v>21478.139011360799</v>
      </c>
    </row>
    <row r="77" spans="1:8" x14ac:dyDescent="0.25">
      <c r="A77" s="35">
        <v>45904</v>
      </c>
      <c r="B77">
        <f>$K$3</f>
        <v>500</v>
      </c>
      <c r="C77">
        <f>VLOOKUP(B77,'Paybill Charges'!A:K,10,TRUE)</f>
        <v>23</v>
      </c>
      <c r="G77">
        <f t="shared" si="61"/>
        <v>0</v>
      </c>
      <c r="H77" s="51">
        <f t="shared" ref="H77" si="70">H76+B77</f>
        <v>21978.139011360799</v>
      </c>
    </row>
    <row r="78" spans="1:8" x14ac:dyDescent="0.25">
      <c r="A78" s="35">
        <v>45931</v>
      </c>
      <c r="E78">
        <f>H77*($K$7/12)</f>
        <v>199.63476268652727</v>
      </c>
      <c r="F78">
        <f>$K$8*E78</f>
        <v>29.94521440297909</v>
      </c>
      <c r="G78">
        <f t="shared" si="61"/>
        <v>169.68954828354816</v>
      </c>
      <c r="H78" s="51">
        <f t="shared" ref="H78" si="71">H77+(E78-F78)</f>
        <v>22147.828559644349</v>
      </c>
    </row>
    <row r="79" spans="1:8" x14ac:dyDescent="0.25">
      <c r="A79" s="35">
        <v>45934</v>
      </c>
      <c r="B79">
        <f>$K$3</f>
        <v>500</v>
      </c>
      <c r="C79">
        <f>VLOOKUP(B79,'Paybill Charges'!A:K,10,TRUE)</f>
        <v>23</v>
      </c>
      <c r="G79">
        <f t="shared" si="61"/>
        <v>0</v>
      </c>
      <c r="H79" s="51">
        <f t="shared" ref="H79" si="72">H78+B79</f>
        <v>22647.828559644349</v>
      </c>
    </row>
    <row r="80" spans="1:8" x14ac:dyDescent="0.25">
      <c r="A80" s="35">
        <v>45962</v>
      </c>
      <c r="E80">
        <f>H79*($K$7/12)</f>
        <v>205.71777608343618</v>
      </c>
      <c r="F80">
        <f>$K$8*E80</f>
        <v>30.857666412515425</v>
      </c>
      <c r="G80">
        <f t="shared" si="61"/>
        <v>174.86010967092076</v>
      </c>
      <c r="H80" s="51">
        <f>H79+(E80-F80)</f>
        <v>22822.68866931527</v>
      </c>
    </row>
    <row r="81" spans="1:3" ht="15.75" x14ac:dyDescent="0.25">
      <c r="A81" s="35" t="s">
        <v>65</v>
      </c>
      <c r="B81" s="2">
        <f>SUM(B3:B80)</f>
        <v>19500</v>
      </c>
      <c r="C81" s="46">
        <f>SUM(C2:C80)</f>
        <v>897</v>
      </c>
    </row>
    <row r="82" spans="1:3" x14ac:dyDescent="0.25">
      <c r="C82">
        <f>75*3</f>
        <v>225</v>
      </c>
    </row>
    <row r="83" spans="1:3" x14ac:dyDescent="0.25">
      <c r="C83" s="2">
        <f>SUM(C81:C82)</f>
        <v>1122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1866-0466-409D-B6AF-AC6B77590AC7}">
  <dimension ref="A1:K23"/>
  <sheetViews>
    <sheetView workbookViewId="0">
      <selection activeCell="I2" sqref="I2:K2"/>
    </sheetView>
  </sheetViews>
  <sheetFormatPr defaultRowHeight="15" x14ac:dyDescent="0.25"/>
  <cols>
    <col min="10" max="10" width="9.140625" style="32"/>
  </cols>
  <sheetData>
    <row r="1" spans="1:11" x14ac:dyDescent="0.25">
      <c r="A1" s="54" t="s">
        <v>26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x14ac:dyDescent="0.25">
      <c r="A2" s="57" t="s">
        <v>27</v>
      </c>
      <c r="B2" s="57" t="s">
        <v>28</v>
      </c>
      <c r="C2" s="59" t="s">
        <v>29</v>
      </c>
      <c r="D2" s="60"/>
      <c r="E2" s="61"/>
      <c r="F2" s="62" t="s">
        <v>30</v>
      </c>
      <c r="G2" s="63"/>
      <c r="H2" s="64"/>
      <c r="I2" s="65" t="s">
        <v>31</v>
      </c>
      <c r="J2" s="66"/>
      <c r="K2" s="67"/>
    </row>
    <row r="3" spans="1:11" ht="25.5" x14ac:dyDescent="0.25">
      <c r="A3" s="58"/>
      <c r="B3" s="58"/>
      <c r="C3" s="14" t="s">
        <v>32</v>
      </c>
      <c r="D3" s="14" t="s">
        <v>33</v>
      </c>
      <c r="E3" s="14" t="s">
        <v>34</v>
      </c>
      <c r="F3" s="15" t="s">
        <v>32</v>
      </c>
      <c r="G3" s="15" t="s">
        <v>33</v>
      </c>
      <c r="H3" s="16" t="s">
        <v>34</v>
      </c>
      <c r="I3" s="17" t="s">
        <v>32</v>
      </c>
      <c r="J3" s="28" t="s">
        <v>33</v>
      </c>
      <c r="K3" s="17" t="s">
        <v>34</v>
      </c>
    </row>
    <row r="4" spans="1:11" x14ac:dyDescent="0.25">
      <c r="A4" s="18">
        <v>1</v>
      </c>
      <c r="B4" s="18">
        <v>49</v>
      </c>
      <c r="C4" s="19" t="s">
        <v>35</v>
      </c>
      <c r="D4" s="19" t="s">
        <v>35</v>
      </c>
      <c r="E4" s="19" t="s">
        <v>35</v>
      </c>
      <c r="F4" s="19" t="s">
        <v>35</v>
      </c>
      <c r="G4" s="19" t="s">
        <v>35</v>
      </c>
      <c r="H4" s="20" t="s">
        <v>35</v>
      </c>
      <c r="I4" s="19" t="s">
        <v>35</v>
      </c>
      <c r="J4" s="29" t="s">
        <v>35</v>
      </c>
      <c r="K4" s="19" t="s">
        <v>35</v>
      </c>
    </row>
    <row r="5" spans="1:11" x14ac:dyDescent="0.25">
      <c r="A5" s="18">
        <v>50</v>
      </c>
      <c r="B5" s="18">
        <v>100</v>
      </c>
      <c r="C5" s="21" t="s">
        <v>35</v>
      </c>
      <c r="D5" s="21" t="s">
        <v>35</v>
      </c>
      <c r="E5" s="21" t="s">
        <v>35</v>
      </c>
      <c r="F5" s="21" t="s">
        <v>35</v>
      </c>
      <c r="G5" s="21" t="s">
        <v>35</v>
      </c>
      <c r="H5" s="22" t="s">
        <v>35</v>
      </c>
      <c r="I5" s="21" t="s">
        <v>35</v>
      </c>
      <c r="J5" s="30" t="s">
        <v>35</v>
      </c>
      <c r="K5" s="21" t="s">
        <v>35</v>
      </c>
    </row>
    <row r="6" spans="1:11" x14ac:dyDescent="0.25">
      <c r="A6" s="18">
        <v>101</v>
      </c>
      <c r="B6" s="18">
        <v>499</v>
      </c>
      <c r="C6" s="18">
        <v>23</v>
      </c>
      <c r="D6" s="18">
        <v>0</v>
      </c>
      <c r="E6" s="18">
        <v>23</v>
      </c>
      <c r="F6" s="18">
        <v>23</v>
      </c>
      <c r="G6" s="18">
        <v>0</v>
      </c>
      <c r="H6" s="18">
        <v>23</v>
      </c>
      <c r="I6" s="18">
        <v>0</v>
      </c>
      <c r="J6" s="31">
        <v>23</v>
      </c>
      <c r="K6" s="18">
        <v>23</v>
      </c>
    </row>
    <row r="7" spans="1:11" x14ac:dyDescent="0.25">
      <c r="A7" s="18">
        <v>500</v>
      </c>
      <c r="B7" s="18">
        <v>999</v>
      </c>
      <c r="C7" s="18">
        <v>23</v>
      </c>
      <c r="D7" s="18">
        <v>0</v>
      </c>
      <c r="E7" s="18">
        <v>23</v>
      </c>
      <c r="F7" s="18">
        <v>23</v>
      </c>
      <c r="G7" s="18">
        <v>0</v>
      </c>
      <c r="H7" s="18">
        <v>23</v>
      </c>
      <c r="I7" s="18">
        <v>0</v>
      </c>
      <c r="J7" s="31">
        <v>23</v>
      </c>
      <c r="K7" s="18">
        <v>23</v>
      </c>
    </row>
    <row r="8" spans="1:11" x14ac:dyDescent="0.25">
      <c r="A8" s="23">
        <v>1000</v>
      </c>
      <c r="B8" s="24">
        <v>1499</v>
      </c>
      <c r="C8" s="18">
        <v>23</v>
      </c>
      <c r="D8" s="18">
        <v>12</v>
      </c>
      <c r="E8" s="18">
        <v>35</v>
      </c>
      <c r="F8" s="18">
        <v>34</v>
      </c>
      <c r="G8" s="18">
        <v>0</v>
      </c>
      <c r="H8" s="18">
        <v>34</v>
      </c>
      <c r="I8" s="18">
        <v>0</v>
      </c>
      <c r="J8" s="31">
        <v>34</v>
      </c>
      <c r="K8" s="18">
        <v>34</v>
      </c>
    </row>
    <row r="9" spans="1:11" x14ac:dyDescent="0.25">
      <c r="A9" s="23">
        <v>1500</v>
      </c>
      <c r="B9" s="24">
        <v>2499</v>
      </c>
      <c r="C9" s="18">
        <v>23</v>
      </c>
      <c r="D9" s="18">
        <v>12</v>
      </c>
      <c r="E9" s="18">
        <v>35</v>
      </c>
      <c r="F9" s="18">
        <v>34</v>
      </c>
      <c r="G9" s="18">
        <v>0</v>
      </c>
      <c r="H9" s="18">
        <v>34</v>
      </c>
      <c r="I9" s="18">
        <v>0</v>
      </c>
      <c r="J9" s="31">
        <v>34</v>
      </c>
      <c r="K9" s="18">
        <v>34</v>
      </c>
    </row>
    <row r="10" spans="1:11" x14ac:dyDescent="0.25">
      <c r="A10" s="23">
        <v>2500</v>
      </c>
      <c r="B10" s="24">
        <v>3499</v>
      </c>
      <c r="C10" s="18">
        <v>34</v>
      </c>
      <c r="D10" s="18">
        <v>22</v>
      </c>
      <c r="E10" s="18">
        <v>56</v>
      </c>
      <c r="F10" s="18">
        <v>56</v>
      </c>
      <c r="G10" s="18">
        <v>0</v>
      </c>
      <c r="H10" s="18">
        <v>56</v>
      </c>
      <c r="I10" s="18">
        <v>0</v>
      </c>
      <c r="J10" s="31">
        <v>56</v>
      </c>
      <c r="K10" s="18">
        <v>56</v>
      </c>
    </row>
    <row r="11" spans="1:11" x14ac:dyDescent="0.25">
      <c r="A11" s="23">
        <v>3500</v>
      </c>
      <c r="B11" s="24">
        <v>4999</v>
      </c>
      <c r="C11" s="18">
        <v>34</v>
      </c>
      <c r="D11" s="18">
        <v>22</v>
      </c>
      <c r="E11" s="18">
        <v>56</v>
      </c>
      <c r="F11" s="18">
        <v>56</v>
      </c>
      <c r="G11" s="18">
        <v>0</v>
      </c>
      <c r="H11" s="18">
        <v>56</v>
      </c>
      <c r="I11" s="18">
        <v>0</v>
      </c>
      <c r="J11" s="31">
        <v>56</v>
      </c>
      <c r="K11" s="18">
        <v>56</v>
      </c>
    </row>
    <row r="12" spans="1:11" x14ac:dyDescent="0.25">
      <c r="A12" s="23">
        <v>5000</v>
      </c>
      <c r="B12" s="24">
        <v>7499</v>
      </c>
      <c r="C12" s="18">
        <v>34</v>
      </c>
      <c r="D12" s="18">
        <v>51</v>
      </c>
      <c r="E12" s="18">
        <v>85</v>
      </c>
      <c r="F12" s="18">
        <v>85</v>
      </c>
      <c r="G12" s="18">
        <v>0</v>
      </c>
      <c r="H12" s="18">
        <v>85</v>
      </c>
      <c r="I12" s="18">
        <v>0</v>
      </c>
      <c r="J12" s="31">
        <v>85</v>
      </c>
      <c r="K12" s="18">
        <v>85</v>
      </c>
    </row>
    <row r="13" spans="1:11" x14ac:dyDescent="0.25">
      <c r="A13" s="23">
        <v>7500</v>
      </c>
      <c r="B13" s="24">
        <v>9999</v>
      </c>
      <c r="C13" s="18">
        <v>34</v>
      </c>
      <c r="D13" s="18">
        <v>51</v>
      </c>
      <c r="E13" s="18">
        <v>85</v>
      </c>
      <c r="F13" s="18">
        <v>85</v>
      </c>
      <c r="G13" s="18">
        <v>0</v>
      </c>
      <c r="H13" s="18">
        <v>85</v>
      </c>
      <c r="I13" s="18">
        <v>0</v>
      </c>
      <c r="J13" s="31">
        <v>85</v>
      </c>
      <c r="K13" s="18">
        <v>85</v>
      </c>
    </row>
    <row r="14" spans="1:11" x14ac:dyDescent="0.25">
      <c r="A14" s="23">
        <v>10000</v>
      </c>
      <c r="B14" s="24">
        <v>14999</v>
      </c>
      <c r="C14" s="18">
        <v>34</v>
      </c>
      <c r="D14" s="18">
        <v>79</v>
      </c>
      <c r="E14" s="18">
        <v>113</v>
      </c>
      <c r="F14" s="18">
        <v>112</v>
      </c>
      <c r="G14" s="18">
        <v>0</v>
      </c>
      <c r="H14" s="18">
        <v>112</v>
      </c>
      <c r="I14" s="18">
        <v>0</v>
      </c>
      <c r="J14" s="31">
        <v>112</v>
      </c>
      <c r="K14" s="18">
        <v>112</v>
      </c>
    </row>
    <row r="15" spans="1:11" x14ac:dyDescent="0.25">
      <c r="A15" s="23">
        <v>15000</v>
      </c>
      <c r="B15" s="24">
        <v>19999</v>
      </c>
      <c r="C15" s="18">
        <v>34</v>
      </c>
      <c r="D15" s="18">
        <v>79</v>
      </c>
      <c r="E15" s="18">
        <v>113</v>
      </c>
      <c r="F15" s="18">
        <v>112</v>
      </c>
      <c r="G15" s="18">
        <v>0</v>
      </c>
      <c r="H15" s="18">
        <v>112</v>
      </c>
      <c r="I15" s="18">
        <v>0</v>
      </c>
      <c r="J15" s="31">
        <v>112</v>
      </c>
      <c r="K15" s="18">
        <v>112</v>
      </c>
    </row>
    <row r="16" spans="1:11" x14ac:dyDescent="0.25">
      <c r="A16" s="23">
        <v>20000</v>
      </c>
      <c r="B16" s="24">
        <v>24999</v>
      </c>
      <c r="C16" s="18">
        <v>34</v>
      </c>
      <c r="D16" s="18">
        <v>79</v>
      </c>
      <c r="E16" s="18">
        <v>113</v>
      </c>
      <c r="F16" s="18">
        <v>112</v>
      </c>
      <c r="G16" s="18">
        <v>0</v>
      </c>
      <c r="H16" s="18">
        <v>112</v>
      </c>
      <c r="I16" s="18">
        <v>0</v>
      </c>
      <c r="J16" s="31">
        <v>112</v>
      </c>
      <c r="K16" s="18">
        <v>112</v>
      </c>
    </row>
    <row r="17" spans="1:11" x14ac:dyDescent="0.25">
      <c r="A17" s="23">
        <v>25000</v>
      </c>
      <c r="B17" s="24">
        <v>29999</v>
      </c>
      <c r="C17" s="18">
        <v>34</v>
      </c>
      <c r="D17" s="18">
        <v>79</v>
      </c>
      <c r="E17" s="18">
        <v>113</v>
      </c>
      <c r="F17" s="18">
        <v>112</v>
      </c>
      <c r="G17" s="18">
        <v>0</v>
      </c>
      <c r="H17" s="18">
        <v>112</v>
      </c>
      <c r="I17" s="18">
        <v>0</v>
      </c>
      <c r="J17" s="31">
        <v>112</v>
      </c>
      <c r="K17" s="18">
        <v>112</v>
      </c>
    </row>
    <row r="18" spans="1:11" x14ac:dyDescent="0.25">
      <c r="A18" s="23">
        <v>30000</v>
      </c>
      <c r="B18" s="24">
        <v>34999</v>
      </c>
      <c r="C18" s="18">
        <v>34</v>
      </c>
      <c r="D18" s="18">
        <v>79</v>
      </c>
      <c r="E18" s="18">
        <v>113</v>
      </c>
      <c r="F18" s="18">
        <v>112</v>
      </c>
      <c r="G18" s="18">
        <v>0</v>
      </c>
      <c r="H18" s="18">
        <v>112</v>
      </c>
      <c r="I18" s="18">
        <v>0</v>
      </c>
      <c r="J18" s="31">
        <v>112</v>
      </c>
      <c r="K18" s="18">
        <v>112</v>
      </c>
    </row>
    <row r="19" spans="1:11" x14ac:dyDescent="0.25">
      <c r="A19" s="23">
        <v>35000</v>
      </c>
      <c r="B19" s="24">
        <v>39999</v>
      </c>
      <c r="C19" s="18">
        <v>45</v>
      </c>
      <c r="D19" s="18">
        <v>157</v>
      </c>
      <c r="E19" s="18">
        <v>202</v>
      </c>
      <c r="F19" s="18">
        <v>202</v>
      </c>
      <c r="G19" s="18">
        <v>0</v>
      </c>
      <c r="H19" s="18">
        <v>202</v>
      </c>
      <c r="I19" s="18">
        <v>0</v>
      </c>
      <c r="J19" s="31">
        <v>202</v>
      </c>
      <c r="K19" s="18">
        <v>202</v>
      </c>
    </row>
    <row r="20" spans="1:11" x14ac:dyDescent="0.25">
      <c r="A20" s="23">
        <v>40000</v>
      </c>
      <c r="B20" s="24">
        <v>44999</v>
      </c>
      <c r="C20" s="18">
        <v>45</v>
      </c>
      <c r="D20" s="18">
        <v>157</v>
      </c>
      <c r="E20" s="18">
        <v>202</v>
      </c>
      <c r="F20" s="18">
        <v>202</v>
      </c>
      <c r="G20" s="18">
        <v>0</v>
      </c>
      <c r="H20" s="18">
        <v>202</v>
      </c>
      <c r="I20" s="18">
        <v>0</v>
      </c>
      <c r="J20" s="31">
        <v>202</v>
      </c>
      <c r="K20" s="18">
        <v>202</v>
      </c>
    </row>
    <row r="21" spans="1:11" x14ac:dyDescent="0.25">
      <c r="A21" s="23">
        <v>45000</v>
      </c>
      <c r="B21" s="24">
        <v>49999</v>
      </c>
      <c r="C21" s="18">
        <v>45</v>
      </c>
      <c r="D21" s="18">
        <v>157</v>
      </c>
      <c r="E21" s="18">
        <v>202</v>
      </c>
      <c r="F21" s="18">
        <v>202</v>
      </c>
      <c r="G21" s="18">
        <v>0</v>
      </c>
      <c r="H21" s="18">
        <v>202</v>
      </c>
      <c r="I21" s="18">
        <v>0</v>
      </c>
      <c r="J21" s="31">
        <v>202</v>
      </c>
      <c r="K21" s="18">
        <v>202</v>
      </c>
    </row>
    <row r="22" spans="1:11" x14ac:dyDescent="0.25">
      <c r="A22" s="23">
        <v>50000</v>
      </c>
      <c r="B22" s="24">
        <v>69999</v>
      </c>
      <c r="C22" s="18">
        <v>49</v>
      </c>
      <c r="D22" s="18">
        <v>161</v>
      </c>
      <c r="E22" s="18">
        <v>210</v>
      </c>
      <c r="F22" s="18">
        <v>210</v>
      </c>
      <c r="G22" s="18">
        <v>0</v>
      </c>
      <c r="H22" s="18">
        <v>210</v>
      </c>
      <c r="I22" s="18">
        <v>0</v>
      </c>
      <c r="J22" s="31">
        <v>210</v>
      </c>
      <c r="K22" s="18">
        <v>210</v>
      </c>
    </row>
    <row r="23" spans="1:11" x14ac:dyDescent="0.25">
      <c r="A23" s="23">
        <v>70000</v>
      </c>
      <c r="B23" s="24">
        <v>150000</v>
      </c>
      <c r="C23" s="18">
        <v>49</v>
      </c>
      <c r="D23" s="18">
        <v>161</v>
      </c>
      <c r="E23" s="18">
        <v>210</v>
      </c>
      <c r="F23" s="18">
        <v>210</v>
      </c>
      <c r="G23" s="18">
        <v>0</v>
      </c>
      <c r="H23" s="18">
        <v>210</v>
      </c>
      <c r="I23" s="18">
        <v>0</v>
      </c>
      <c r="J23" s="31">
        <v>210</v>
      </c>
      <c r="K23" s="18">
        <v>210</v>
      </c>
    </row>
  </sheetData>
  <mergeCells count="6">
    <mergeCell ref="A1:K1"/>
    <mergeCell ref="A2:A3"/>
    <mergeCell ref="B2:B3"/>
    <mergeCell ref="C2:E2"/>
    <mergeCell ref="F2:H2"/>
    <mergeCell ref="I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ABBB-2C10-4AF0-A7BA-D7A819AADDC8}">
  <dimension ref="A1:G15"/>
  <sheetViews>
    <sheetView tabSelected="1" workbookViewId="0">
      <selection activeCell="B15" sqref="B15"/>
    </sheetView>
  </sheetViews>
  <sheetFormatPr defaultRowHeight="15" x14ac:dyDescent="0.25"/>
  <cols>
    <col min="1" max="1" width="22.28515625" customWidth="1"/>
    <col min="2" max="2" width="14.42578125" customWidth="1"/>
    <col min="3" max="3" width="11.140625" customWidth="1"/>
    <col min="5" max="5" width="13.7109375" customWidth="1"/>
    <col min="6" max="6" width="13.140625" customWidth="1"/>
    <col min="7" max="7" width="13.28515625" customWidth="1"/>
  </cols>
  <sheetData>
    <row r="1" spans="1:7" ht="18.75" x14ac:dyDescent="0.3">
      <c r="A1" s="3" t="s">
        <v>36</v>
      </c>
      <c r="E1" s="3" t="s">
        <v>45</v>
      </c>
    </row>
    <row r="3" spans="1:7" x14ac:dyDescent="0.25">
      <c r="A3" t="s">
        <v>37</v>
      </c>
      <c r="B3">
        <v>5000</v>
      </c>
      <c r="F3" s="26" t="s">
        <v>0</v>
      </c>
      <c r="G3" s="26" t="s">
        <v>42</v>
      </c>
    </row>
    <row r="4" spans="1:7" x14ac:dyDescent="0.25">
      <c r="A4" t="s">
        <v>38</v>
      </c>
      <c r="B4">
        <v>1</v>
      </c>
      <c r="E4" t="s">
        <v>46</v>
      </c>
      <c r="F4" s="27">
        <f>('Cytonn vs SC shillingi Fund'!B10)*$B$3</f>
        <v>540</v>
      </c>
      <c r="G4" s="27">
        <f>('Cytonn vs SC shillingi Fund'!C10)*$B$3</f>
        <v>472</v>
      </c>
    </row>
    <row r="5" spans="1:7" x14ac:dyDescent="0.25">
      <c r="A5" t="s">
        <v>39</v>
      </c>
      <c r="B5">
        <f>12*B4</f>
        <v>12</v>
      </c>
      <c r="E5" t="s">
        <v>47</v>
      </c>
      <c r="F5">
        <f>B3</f>
        <v>5000</v>
      </c>
    </row>
    <row r="9" spans="1:7" ht="18.75" x14ac:dyDescent="0.3">
      <c r="A9" s="3" t="s">
        <v>40</v>
      </c>
    </row>
    <row r="10" spans="1:7" ht="18.75" x14ac:dyDescent="0.3">
      <c r="A10" s="3"/>
      <c r="B10" s="26" t="s">
        <v>0</v>
      </c>
      <c r="C10" s="26" t="s">
        <v>42</v>
      </c>
    </row>
    <row r="11" spans="1:7" x14ac:dyDescent="0.25">
      <c r="A11" t="s">
        <v>41</v>
      </c>
      <c r="B11">
        <f>VLOOKUP($B$3,'Paybill Charges'!$A$2:$K$23,6,FALSE)</f>
        <v>85</v>
      </c>
      <c r="C11">
        <f>VLOOKUP($B$3,'Paybill Charges'!$A$2:$K$23,6,FALSE)</f>
        <v>85</v>
      </c>
    </row>
    <row r="12" spans="1:7" x14ac:dyDescent="0.25">
      <c r="A12" t="s">
        <v>14</v>
      </c>
      <c r="B12">
        <v>0</v>
      </c>
      <c r="C12">
        <f>'Cytonn vs SC shillingi Fund'!$C$6*$B$3</f>
        <v>50</v>
      </c>
    </row>
    <row r="13" spans="1:7" x14ac:dyDescent="0.25">
      <c r="A13" t="s">
        <v>43</v>
      </c>
      <c r="B13" s="25">
        <f>('Cytonn vs SC shillingi Fund'!$B$7)*B3</f>
        <v>75</v>
      </c>
      <c r="C13" s="25">
        <f>'Cytonn vs SC shillingi Fund'!$C$7*B3</f>
        <v>60</v>
      </c>
    </row>
    <row r="14" spans="1:7" x14ac:dyDescent="0.25">
      <c r="A14" t="s">
        <v>44</v>
      </c>
      <c r="B14">
        <f>B13*B4</f>
        <v>75</v>
      </c>
    </row>
    <row r="15" spans="1:7" x14ac:dyDescent="0.25">
      <c r="A15" t="s">
        <v>48</v>
      </c>
      <c r="B15" s="25">
        <f>'Cytonn vs SC shillingi Fund'!B8*F5</f>
        <v>750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3E19-C01B-437C-9267-7A4F42A58257}">
  <dimension ref="A1:B2"/>
  <sheetViews>
    <sheetView workbookViewId="0">
      <selection activeCell="B2" sqref="B2"/>
    </sheetView>
  </sheetViews>
  <sheetFormatPr defaultRowHeight="15" x14ac:dyDescent="0.25"/>
  <cols>
    <col min="1" max="1" width="15.28515625" customWidth="1"/>
    <col min="2" max="2" width="29.85546875" customWidth="1"/>
  </cols>
  <sheetData>
    <row r="1" spans="1:2" ht="27" customHeight="1" x14ac:dyDescent="0.25">
      <c r="A1" t="s">
        <v>17</v>
      </c>
      <c r="B1" s="13" t="s">
        <v>18</v>
      </c>
    </row>
    <row r="2" spans="1:2" ht="30" x14ac:dyDescent="0.25">
      <c r="A2" s="1" t="s">
        <v>19</v>
      </c>
      <c r="B2" s="12" t="s">
        <v>20</v>
      </c>
    </row>
  </sheetData>
  <hyperlinks>
    <hyperlink ref="B1" r:id="rId1" xr:uid="{BC32595E-2AFA-47CC-929A-06E46EE9FC72}"/>
    <hyperlink ref="B2" r:id="rId2" location="global-markets-review" xr:uid="{9FD4492B-4B7F-4B81-9389-D9FF570879CA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Historical MMF performance</vt:lpstr>
      <vt:lpstr>Cytonn vs SC shillingi Fund</vt:lpstr>
      <vt:lpstr>Investment Profile</vt:lpstr>
      <vt:lpstr>Case MMF performance Analysis</vt:lpstr>
      <vt:lpstr>Paybill Charges</vt:lpstr>
      <vt:lpstr>Case Assumptions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GreHiDel</dc:creator>
  <cp:lastModifiedBy>GreHiDel</cp:lastModifiedBy>
  <dcterms:created xsi:type="dcterms:W3CDTF">2015-06-05T18:17:20Z</dcterms:created>
  <dcterms:modified xsi:type="dcterms:W3CDTF">2022-07-22T12:13:23Z</dcterms:modified>
</cp:coreProperties>
</file>