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tateofmichigan-my.sharepoint.com/personal/winterd1_michigan_gov/Documents/Documents/"/>
    </mc:Choice>
  </mc:AlternateContent>
  <xr:revisionPtr revIDLastSave="778" documentId="8_{17C7BE8D-F21D-41A9-9B6A-523908125EA9}" xr6:coauthVersionLast="47" xr6:coauthVersionMax="47" xr10:uidLastSave="{3644D681-3669-4E3D-A718-F3632DB778F8}"/>
  <bookViews>
    <workbookView xWindow="-120" yWindow="-120" windowWidth="29040" windowHeight="15720" tabRatio="871" firstSheet="1" activeTab="6" xr2:uid="{E97482DF-86CC-4CF7-B1B3-75A837962E0D}"/>
  </bookViews>
  <sheets>
    <sheet name="Dashboard" sheetId="40" r:id="rId1"/>
    <sheet name="Performance" sheetId="7" r:id="rId2"/>
    <sheet name="Expenditures" sheetId="8" r:id="rId3"/>
    <sheet name="Cumulative Data" sheetId="24" r:id="rId4"/>
    <sheet name="Partner 1 Data" sheetId="14" r:id="rId5"/>
    <sheet name="Partner 2 Data" sheetId="16" r:id="rId6"/>
    <sheet name="Partner 3 Data" sheetId="18" r:id="rId7"/>
    <sheet name="Partner 4 Data" sheetId="12" r:id="rId8"/>
    <sheet name="SOM Budget" sheetId="39" r:id="rId9"/>
    <sheet name="MARS Draw Plus" sheetId="36" r:id="rId10"/>
    <sheet name="MARS Exp Report" sheetId="28" r:id="rId11"/>
    <sheet name="EDB" sheetId="37" r:id="rId12"/>
    <sheet name="Training APEX Query" sheetId="23" r:id="rId13"/>
    <sheet name="Formula Examples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3" l="1"/>
  <c r="J5" i="36"/>
  <c r="K5" i="36"/>
  <c r="L5" i="36"/>
  <c r="M5" i="36"/>
  <c r="N5" i="36"/>
  <c r="O5" i="36"/>
  <c r="P5" i="36"/>
  <c r="J6" i="36"/>
  <c r="K6" i="36"/>
  <c r="L6" i="36"/>
  <c r="M6" i="36"/>
  <c r="N6" i="36"/>
  <c r="O6" i="36"/>
  <c r="P6" i="36"/>
  <c r="M10" i="41"/>
  <c r="M9" i="41"/>
  <c r="M8" i="41"/>
  <c r="E12" i="41"/>
  <c r="E5" i="41"/>
  <c r="E6" i="41"/>
  <c r="E7" i="41"/>
  <c r="E4" i="41"/>
  <c r="H9" i="41"/>
  <c r="H8" i="41"/>
  <c r="B8" i="41"/>
  <c r="S10" i="7"/>
  <c r="M8" i="8"/>
  <c r="M9" i="8"/>
  <c r="M10" i="8"/>
  <c r="M7" i="8"/>
  <c r="F9" i="8"/>
  <c r="F10" i="8"/>
  <c r="F11" i="8"/>
  <c r="F8" i="8"/>
  <c r="B21" i="8"/>
  <c r="B22" i="8"/>
  <c r="B23" i="8"/>
  <c r="B20" i="8"/>
  <c r="C21" i="8"/>
  <c r="C22" i="8"/>
  <c r="C20" i="8"/>
  <c r="J10" i="8"/>
  <c r="J9" i="8"/>
  <c r="J8" i="8"/>
  <c r="C45" i="14"/>
  <c r="C46" i="14"/>
  <c r="C47" i="14"/>
  <c r="C48" i="14"/>
  <c r="C49" i="14"/>
  <c r="C50" i="14"/>
  <c r="E7" i="8"/>
  <c r="O14" i="8"/>
  <c r="E9" i="41" l="1"/>
  <c r="E8" i="41"/>
  <c r="C13" i="39"/>
  <c r="C15" i="39" s="1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B8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B7" i="36"/>
  <c r="C6" i="36"/>
  <c r="D6" i="36"/>
  <c r="E6" i="36"/>
  <c r="F6" i="36"/>
  <c r="G6" i="36"/>
  <c r="H6" i="36"/>
  <c r="I6" i="36"/>
  <c r="B6" i="36"/>
  <c r="G5" i="36"/>
  <c r="G9" i="36" s="1"/>
  <c r="I5" i="36"/>
  <c r="L56" i="24"/>
  <c r="C65" i="12"/>
  <c r="C55" i="12"/>
  <c r="C62" i="12"/>
  <c r="C54" i="12"/>
  <c r="C53" i="12"/>
  <c r="C45" i="18"/>
  <c r="B29" i="28"/>
  <c r="F29" i="28" s="1"/>
  <c r="D29" i="28"/>
  <c r="B30" i="28"/>
  <c r="E30" i="28" s="1"/>
  <c r="B31" i="28"/>
  <c r="E31" i="28" s="1"/>
  <c r="B32" i="28"/>
  <c r="D32" i="28" s="1"/>
  <c r="G32" i="28"/>
  <c r="C29" i="28"/>
  <c r="C30" i="28"/>
  <c r="R6" i="7"/>
  <c r="S6" i="7" s="1"/>
  <c r="AG6" i="7"/>
  <c r="U6" i="7"/>
  <c r="U13" i="7" s="1"/>
  <c r="V13" i="7" s="1"/>
  <c r="AJ6" i="7"/>
  <c r="X6" i="7"/>
  <c r="AM6" i="7"/>
  <c r="AN6" i="7" s="1"/>
  <c r="AA6" i="7"/>
  <c r="AP6" i="7"/>
  <c r="AQ6" i="7" s="1"/>
  <c r="R7" i="7"/>
  <c r="S7" i="7" s="1"/>
  <c r="AG7" i="7"/>
  <c r="U7" i="7"/>
  <c r="U14" i="7" s="1"/>
  <c r="AJ7" i="7"/>
  <c r="X7" i="7"/>
  <c r="AM7" i="7"/>
  <c r="AN7" i="7" s="1"/>
  <c r="AA7" i="7"/>
  <c r="AP7" i="7"/>
  <c r="AQ7" i="7" s="1"/>
  <c r="R8" i="7"/>
  <c r="S8" i="7" s="1"/>
  <c r="AG8" i="7"/>
  <c r="U8" i="7"/>
  <c r="AD8" i="7" s="1"/>
  <c r="AE8" i="7" s="1"/>
  <c r="C10" i="40" s="1"/>
  <c r="AJ8" i="7"/>
  <c r="X8" i="7"/>
  <c r="AM8" i="7"/>
  <c r="AA8" i="7"/>
  <c r="AP8" i="7"/>
  <c r="AS8" i="7" s="1"/>
  <c r="AT8" i="7" s="1"/>
  <c r="D10" i="40" s="1"/>
  <c r="R9" i="7"/>
  <c r="S9" i="7" s="1"/>
  <c r="AG9" i="7"/>
  <c r="U9" i="7"/>
  <c r="V9" i="7" s="1"/>
  <c r="AJ9" i="7"/>
  <c r="X9" i="7"/>
  <c r="AM9" i="7"/>
  <c r="AN9" i="7" s="1"/>
  <c r="AA9" i="7"/>
  <c r="AP9" i="7"/>
  <c r="AS9" i="7" s="1"/>
  <c r="AT9" i="7" s="1"/>
  <c r="D11" i="40" s="1"/>
  <c r="R5" i="7"/>
  <c r="S5" i="7" s="1"/>
  <c r="AG5" i="7"/>
  <c r="U5" i="7"/>
  <c r="U12" i="7" s="1"/>
  <c r="AJ5" i="7"/>
  <c r="X5" i="7"/>
  <c r="AM5" i="7"/>
  <c r="AN5" i="7" s="1"/>
  <c r="AA5" i="7"/>
  <c r="AP5" i="7"/>
  <c r="L3" i="36"/>
  <c r="M3" i="36"/>
  <c r="N3" i="36"/>
  <c r="O3" i="36"/>
  <c r="P3" i="36"/>
  <c r="F3" i="36"/>
  <c r="G3" i="36"/>
  <c r="H3" i="36"/>
  <c r="I3" i="36"/>
  <c r="J3" i="36"/>
  <c r="K3" i="36"/>
  <c r="E3" i="36"/>
  <c r="A5" i="36"/>
  <c r="D3" i="36"/>
  <c r="G16" i="8"/>
  <c r="N15" i="8" s="1"/>
  <c r="R10" i="7"/>
  <c r="U17" i="7" s="1"/>
  <c r="AG10" i="7"/>
  <c r="U10" i="7"/>
  <c r="V10" i="7" s="1"/>
  <c r="AJ10" i="7"/>
  <c r="AJ17" i="7" s="1"/>
  <c r="AK17" i="7" s="1"/>
  <c r="X10" i="7"/>
  <c r="AM10" i="7"/>
  <c r="AX17" i="7"/>
  <c r="BA17" i="7" s="1"/>
  <c r="AX16" i="7"/>
  <c r="BA16" i="7" s="1"/>
  <c r="AX15" i="7"/>
  <c r="BA15" i="7" s="1"/>
  <c r="AX14" i="7"/>
  <c r="BA14" i="7" s="1"/>
  <c r="BA13" i="7"/>
  <c r="AX13" i="7"/>
  <c r="AX12" i="7"/>
  <c r="BA12" i="7" s="1"/>
  <c r="AI17" i="7"/>
  <c r="AL17" i="7" s="1"/>
  <c r="AI16" i="7"/>
  <c r="AL16" i="7" s="1"/>
  <c r="AI15" i="7"/>
  <c r="AL15" i="7" s="1"/>
  <c r="AI14" i="7"/>
  <c r="AL14" i="7" s="1"/>
  <c r="AL13" i="7"/>
  <c r="AI13" i="7"/>
  <c r="AI12" i="7"/>
  <c r="AL12" i="7" s="1"/>
  <c r="T17" i="7"/>
  <c r="W17" i="7" s="1"/>
  <c r="T16" i="7"/>
  <c r="W16" i="7" s="1"/>
  <c r="T15" i="7"/>
  <c r="W15" i="7" s="1"/>
  <c r="T14" i="7"/>
  <c r="W13" i="7"/>
  <c r="T13" i="7"/>
  <c r="T12" i="7"/>
  <c r="W12" i="7" s="1"/>
  <c r="E13" i="7"/>
  <c r="H13" i="7" s="1"/>
  <c r="E14" i="7"/>
  <c r="H14" i="7" s="1"/>
  <c r="E15" i="7"/>
  <c r="H15" i="7"/>
  <c r="E16" i="7"/>
  <c r="H16" i="7" s="1"/>
  <c r="E17" i="7"/>
  <c r="H17" i="7" s="1"/>
  <c r="E12" i="7"/>
  <c r="H12" i="7" s="1"/>
  <c r="BG6" i="7"/>
  <c r="BG7" i="7"/>
  <c r="BG8" i="7"/>
  <c r="BG9" i="7"/>
  <c r="BG10" i="7"/>
  <c r="BG5" i="7"/>
  <c r="AR6" i="7"/>
  <c r="AR7" i="7"/>
  <c r="AR8" i="7"/>
  <c r="AR9" i="7"/>
  <c r="N25" i="7" s="1"/>
  <c r="AR10" i="7"/>
  <c r="AR5" i="7"/>
  <c r="N6" i="7"/>
  <c r="N7" i="7"/>
  <c r="N8" i="7"/>
  <c r="N9" i="7"/>
  <c r="N10" i="7"/>
  <c r="N5" i="7"/>
  <c r="E68" i="18"/>
  <c r="F68" i="18" s="1"/>
  <c r="H68" i="18"/>
  <c r="E69" i="18"/>
  <c r="F69" i="18"/>
  <c r="H69" i="18"/>
  <c r="C69" i="18"/>
  <c r="C70" i="18"/>
  <c r="C71" i="18"/>
  <c r="C72" i="18"/>
  <c r="H73" i="18"/>
  <c r="C73" i="18" s="1"/>
  <c r="C74" i="18"/>
  <c r="H75" i="18"/>
  <c r="C75" i="18"/>
  <c r="D76" i="18"/>
  <c r="F76" i="18"/>
  <c r="F76" i="24" s="1"/>
  <c r="H76" i="18"/>
  <c r="C77" i="18"/>
  <c r="C78" i="18"/>
  <c r="E79" i="18"/>
  <c r="F79" i="18" s="1"/>
  <c r="C79" i="18" s="1"/>
  <c r="H79" i="18"/>
  <c r="H79" i="24" s="1"/>
  <c r="F80" i="18"/>
  <c r="C80" i="18" s="1"/>
  <c r="H80" i="18"/>
  <c r="H80" i="24" s="1"/>
  <c r="L10" i="8"/>
  <c r="H20" i="23"/>
  <c r="W14" i="7"/>
  <c r="J66" i="18"/>
  <c r="K29" i="8" s="1"/>
  <c r="N66" i="18"/>
  <c r="L43" i="24"/>
  <c r="M43" i="24"/>
  <c r="N43" i="24"/>
  <c r="O43" i="24"/>
  <c r="P43" i="24"/>
  <c r="Q43" i="24"/>
  <c r="R43" i="24"/>
  <c r="L42" i="24"/>
  <c r="M42" i="24"/>
  <c r="N42" i="24"/>
  <c r="O42" i="24"/>
  <c r="P42" i="24"/>
  <c r="Q42" i="24"/>
  <c r="R42" i="24"/>
  <c r="L41" i="24"/>
  <c r="M41" i="24"/>
  <c r="N41" i="24"/>
  <c r="O41" i="24"/>
  <c r="P41" i="24"/>
  <c r="Q41" i="24"/>
  <c r="R41" i="24"/>
  <c r="L40" i="24"/>
  <c r="M40" i="24"/>
  <c r="N40" i="24"/>
  <c r="O40" i="24"/>
  <c r="P40" i="24"/>
  <c r="Q40" i="24"/>
  <c r="R40" i="24"/>
  <c r="L39" i="24"/>
  <c r="M39" i="24"/>
  <c r="N39" i="24"/>
  <c r="O39" i="24"/>
  <c r="P39" i="24"/>
  <c r="Q39" i="24"/>
  <c r="R39" i="24"/>
  <c r="L38" i="24"/>
  <c r="M38" i="24"/>
  <c r="N38" i="24"/>
  <c r="O38" i="24"/>
  <c r="P38" i="24"/>
  <c r="Q38" i="24"/>
  <c r="R38" i="24"/>
  <c r="L37" i="24"/>
  <c r="M37" i="24"/>
  <c r="N37" i="24"/>
  <c r="O37" i="24"/>
  <c r="P37" i="24"/>
  <c r="Q37" i="24"/>
  <c r="R37" i="24"/>
  <c r="L36" i="24"/>
  <c r="M36" i="24"/>
  <c r="N36" i="24"/>
  <c r="O36" i="24"/>
  <c r="P36" i="24"/>
  <c r="Q36" i="24"/>
  <c r="R36" i="24"/>
  <c r="L35" i="24"/>
  <c r="M35" i="24"/>
  <c r="N35" i="24"/>
  <c r="O35" i="24"/>
  <c r="P35" i="24"/>
  <c r="Q35" i="24"/>
  <c r="R35" i="24"/>
  <c r="L34" i="24"/>
  <c r="M34" i="24"/>
  <c r="N34" i="24"/>
  <c r="O34" i="24"/>
  <c r="P34" i="24"/>
  <c r="Q34" i="24"/>
  <c r="R34" i="24"/>
  <c r="L33" i="24"/>
  <c r="M33" i="24"/>
  <c r="N33" i="24"/>
  <c r="O33" i="24"/>
  <c r="P33" i="24"/>
  <c r="Q33" i="24"/>
  <c r="R33" i="24"/>
  <c r="L32" i="24"/>
  <c r="M32" i="24"/>
  <c r="N32" i="24"/>
  <c r="O32" i="24"/>
  <c r="P32" i="24"/>
  <c r="Q32" i="24"/>
  <c r="R32" i="24"/>
  <c r="L31" i="24"/>
  <c r="M31" i="24"/>
  <c r="N31" i="24"/>
  <c r="O31" i="24"/>
  <c r="P31" i="24"/>
  <c r="Q31" i="24"/>
  <c r="R31" i="24"/>
  <c r="L30" i="24"/>
  <c r="M30" i="24"/>
  <c r="N30" i="24"/>
  <c r="O30" i="24"/>
  <c r="P30" i="24"/>
  <c r="Q30" i="24"/>
  <c r="R30" i="24"/>
  <c r="L29" i="24"/>
  <c r="M29" i="24"/>
  <c r="N29" i="24"/>
  <c r="O29" i="24"/>
  <c r="P29" i="24"/>
  <c r="Q29" i="24"/>
  <c r="R29" i="24"/>
  <c r="L28" i="24"/>
  <c r="M28" i="24"/>
  <c r="N28" i="24"/>
  <c r="O28" i="24"/>
  <c r="P28" i="24"/>
  <c r="Q28" i="24"/>
  <c r="R28" i="24"/>
  <c r="L26" i="24"/>
  <c r="M26" i="24"/>
  <c r="N26" i="24"/>
  <c r="O26" i="24"/>
  <c r="P26" i="24"/>
  <c r="Q26" i="24"/>
  <c r="R26" i="24"/>
  <c r="L25" i="24"/>
  <c r="M25" i="24"/>
  <c r="N25" i="24"/>
  <c r="O25" i="24"/>
  <c r="P25" i="24"/>
  <c r="Q25" i="24"/>
  <c r="R25" i="24"/>
  <c r="L24" i="24"/>
  <c r="M24" i="24"/>
  <c r="N24" i="24"/>
  <c r="O24" i="24"/>
  <c r="P24" i="24"/>
  <c r="Q24" i="24"/>
  <c r="R24" i="24"/>
  <c r="L22" i="24"/>
  <c r="M22" i="24"/>
  <c r="N22" i="24"/>
  <c r="O22" i="24"/>
  <c r="P22" i="24"/>
  <c r="Q22" i="24"/>
  <c r="R22" i="24"/>
  <c r="L21" i="24"/>
  <c r="M21" i="24"/>
  <c r="N21" i="24"/>
  <c r="O21" i="24"/>
  <c r="P21" i="24"/>
  <c r="Q21" i="24"/>
  <c r="R21" i="24"/>
  <c r="L20" i="24"/>
  <c r="M20" i="24"/>
  <c r="N20" i="24"/>
  <c r="O20" i="24"/>
  <c r="P20" i="24"/>
  <c r="Q20" i="24"/>
  <c r="R20" i="24"/>
  <c r="L18" i="24"/>
  <c r="M18" i="24"/>
  <c r="N18" i="24"/>
  <c r="O18" i="24"/>
  <c r="P18" i="24"/>
  <c r="Q18" i="24"/>
  <c r="R18" i="24"/>
  <c r="L17" i="24"/>
  <c r="M17" i="24"/>
  <c r="N17" i="24"/>
  <c r="O17" i="24"/>
  <c r="P17" i="24"/>
  <c r="Q17" i="24"/>
  <c r="R17" i="24"/>
  <c r="L16" i="24"/>
  <c r="M16" i="24"/>
  <c r="N16" i="24"/>
  <c r="O16" i="24"/>
  <c r="P16" i="24"/>
  <c r="Q16" i="24"/>
  <c r="R16" i="24"/>
  <c r="L14" i="24"/>
  <c r="M14" i="24"/>
  <c r="N14" i="24"/>
  <c r="O14" i="24"/>
  <c r="P14" i="24"/>
  <c r="Q14" i="24"/>
  <c r="R14" i="24"/>
  <c r="L13" i="24"/>
  <c r="M13" i="24"/>
  <c r="N13" i="24"/>
  <c r="O13" i="24"/>
  <c r="P13" i="24"/>
  <c r="Q13" i="24"/>
  <c r="R13" i="24"/>
  <c r="L12" i="24"/>
  <c r="M12" i="24"/>
  <c r="N12" i="24"/>
  <c r="O12" i="24"/>
  <c r="P12" i="24"/>
  <c r="Q12" i="24"/>
  <c r="R12" i="24"/>
  <c r="L11" i="24"/>
  <c r="M11" i="24"/>
  <c r="N11" i="24"/>
  <c r="O11" i="24"/>
  <c r="P11" i="24"/>
  <c r="Q11" i="24"/>
  <c r="R11" i="24"/>
  <c r="L9" i="24"/>
  <c r="M9" i="24"/>
  <c r="N9" i="24"/>
  <c r="O9" i="24"/>
  <c r="P9" i="24"/>
  <c r="Q9" i="24"/>
  <c r="R9" i="24"/>
  <c r="L8" i="24"/>
  <c r="M8" i="24"/>
  <c r="N8" i="24"/>
  <c r="O8" i="24"/>
  <c r="P8" i="24"/>
  <c r="Q8" i="24"/>
  <c r="R8" i="24"/>
  <c r="J65" i="24"/>
  <c r="K65" i="24"/>
  <c r="L65" i="24"/>
  <c r="M65" i="24"/>
  <c r="N65" i="24"/>
  <c r="O65" i="24"/>
  <c r="P65" i="24"/>
  <c r="Q65" i="24"/>
  <c r="R65" i="24"/>
  <c r="J64" i="24"/>
  <c r="K64" i="24"/>
  <c r="L64" i="24"/>
  <c r="M64" i="24"/>
  <c r="N64" i="24"/>
  <c r="O64" i="24"/>
  <c r="P64" i="24"/>
  <c r="Q64" i="24"/>
  <c r="R64" i="24"/>
  <c r="J63" i="24"/>
  <c r="K63" i="24"/>
  <c r="L63" i="24"/>
  <c r="M63" i="24"/>
  <c r="N63" i="24"/>
  <c r="O63" i="24"/>
  <c r="P63" i="24"/>
  <c r="Q63" i="24"/>
  <c r="R63" i="24"/>
  <c r="J62" i="24"/>
  <c r="K62" i="24"/>
  <c r="L62" i="24"/>
  <c r="M62" i="24"/>
  <c r="N62" i="24"/>
  <c r="O62" i="24"/>
  <c r="P62" i="24"/>
  <c r="Q62" i="24"/>
  <c r="R62" i="24"/>
  <c r="J61" i="24"/>
  <c r="K61" i="24"/>
  <c r="L61" i="24"/>
  <c r="M61" i="24"/>
  <c r="N61" i="24"/>
  <c r="O61" i="24"/>
  <c r="P61" i="24"/>
  <c r="Q61" i="24"/>
  <c r="R61" i="24"/>
  <c r="J60" i="24"/>
  <c r="K60" i="24"/>
  <c r="L60" i="24"/>
  <c r="M60" i="24"/>
  <c r="N60" i="24"/>
  <c r="O60" i="24"/>
  <c r="P60" i="24"/>
  <c r="Q60" i="24"/>
  <c r="R60" i="24"/>
  <c r="J59" i="24"/>
  <c r="K59" i="24"/>
  <c r="L59" i="24"/>
  <c r="M59" i="24"/>
  <c r="N59" i="24"/>
  <c r="O59" i="24"/>
  <c r="P59" i="24"/>
  <c r="Q59" i="24"/>
  <c r="R59" i="24"/>
  <c r="J58" i="24"/>
  <c r="K58" i="24"/>
  <c r="L58" i="24"/>
  <c r="M58" i="24"/>
  <c r="N58" i="24"/>
  <c r="O58" i="24"/>
  <c r="P58" i="24"/>
  <c r="Q58" i="24"/>
  <c r="R58" i="24"/>
  <c r="J57" i="24"/>
  <c r="K57" i="24"/>
  <c r="L57" i="24"/>
  <c r="M57" i="24"/>
  <c r="N57" i="24"/>
  <c r="O57" i="24"/>
  <c r="P57" i="24"/>
  <c r="Q57" i="24"/>
  <c r="R57" i="24"/>
  <c r="J56" i="24"/>
  <c r="K56" i="24"/>
  <c r="M56" i="24"/>
  <c r="N56" i="24"/>
  <c r="O56" i="24"/>
  <c r="P56" i="24"/>
  <c r="Q56" i="24"/>
  <c r="R56" i="24"/>
  <c r="J55" i="24"/>
  <c r="K55" i="24"/>
  <c r="L55" i="24"/>
  <c r="M55" i="24"/>
  <c r="N55" i="24"/>
  <c r="O55" i="24"/>
  <c r="P55" i="24"/>
  <c r="Q55" i="24"/>
  <c r="R55" i="24"/>
  <c r="J54" i="24"/>
  <c r="K54" i="24"/>
  <c r="L54" i="24"/>
  <c r="M54" i="24"/>
  <c r="N54" i="24"/>
  <c r="O54" i="24"/>
  <c r="P54" i="24"/>
  <c r="Q54" i="24"/>
  <c r="R54" i="24"/>
  <c r="J53" i="24"/>
  <c r="K53" i="24"/>
  <c r="L53" i="24"/>
  <c r="M53" i="24"/>
  <c r="N53" i="24"/>
  <c r="O53" i="24"/>
  <c r="P53" i="24"/>
  <c r="Q53" i="24"/>
  <c r="R53" i="24"/>
  <c r="I80" i="24"/>
  <c r="J80" i="24"/>
  <c r="K80" i="24"/>
  <c r="L80" i="24"/>
  <c r="M80" i="24"/>
  <c r="N80" i="24"/>
  <c r="O80" i="24"/>
  <c r="P80" i="24"/>
  <c r="Q80" i="24"/>
  <c r="R80" i="24"/>
  <c r="I79" i="24"/>
  <c r="J79" i="24"/>
  <c r="K79" i="24"/>
  <c r="L79" i="24"/>
  <c r="M79" i="24"/>
  <c r="N79" i="24"/>
  <c r="O79" i="24"/>
  <c r="P79" i="24"/>
  <c r="Q79" i="24"/>
  <c r="R79" i="24"/>
  <c r="I78" i="24"/>
  <c r="J78" i="24"/>
  <c r="K78" i="24"/>
  <c r="L78" i="24"/>
  <c r="M78" i="24"/>
  <c r="N78" i="24"/>
  <c r="O78" i="24"/>
  <c r="P78" i="24"/>
  <c r="Q78" i="24"/>
  <c r="R78" i="24"/>
  <c r="I77" i="24"/>
  <c r="J77" i="24"/>
  <c r="K77" i="24"/>
  <c r="L77" i="24"/>
  <c r="M77" i="24"/>
  <c r="N77" i="24"/>
  <c r="O77" i="24"/>
  <c r="P77" i="24"/>
  <c r="Q77" i="24"/>
  <c r="R77" i="24"/>
  <c r="I76" i="24"/>
  <c r="J76" i="24"/>
  <c r="K76" i="24"/>
  <c r="L76" i="24"/>
  <c r="M76" i="24"/>
  <c r="N76" i="24"/>
  <c r="O76" i="24"/>
  <c r="P76" i="24"/>
  <c r="Q76" i="24"/>
  <c r="R76" i="24"/>
  <c r="I75" i="24"/>
  <c r="J75" i="24"/>
  <c r="K75" i="24"/>
  <c r="L75" i="24"/>
  <c r="M75" i="24"/>
  <c r="N75" i="24"/>
  <c r="O75" i="24"/>
  <c r="P75" i="24"/>
  <c r="Q75" i="24"/>
  <c r="R75" i="24"/>
  <c r="I74" i="24"/>
  <c r="J74" i="24"/>
  <c r="K74" i="24"/>
  <c r="L74" i="24"/>
  <c r="M74" i="24"/>
  <c r="N74" i="24"/>
  <c r="O74" i="24"/>
  <c r="P74" i="24"/>
  <c r="Q74" i="24"/>
  <c r="R74" i="24"/>
  <c r="J68" i="24"/>
  <c r="K68" i="24"/>
  <c r="L68" i="24"/>
  <c r="M68" i="24"/>
  <c r="N68" i="24"/>
  <c r="O68" i="24"/>
  <c r="P68" i="24"/>
  <c r="Q68" i="24"/>
  <c r="R68" i="24"/>
  <c r="J69" i="24"/>
  <c r="K69" i="24"/>
  <c r="L69" i="24"/>
  <c r="M69" i="24"/>
  <c r="N69" i="24"/>
  <c r="O69" i="24"/>
  <c r="P69" i="24"/>
  <c r="Q69" i="24"/>
  <c r="R69" i="24"/>
  <c r="J70" i="24"/>
  <c r="K70" i="24"/>
  <c r="L70" i="24"/>
  <c r="M70" i="24"/>
  <c r="N70" i="24"/>
  <c r="O70" i="24"/>
  <c r="P70" i="24"/>
  <c r="Q70" i="24"/>
  <c r="R70" i="24"/>
  <c r="J71" i="24"/>
  <c r="K71" i="24"/>
  <c r="L71" i="24"/>
  <c r="M71" i="24"/>
  <c r="N71" i="24"/>
  <c r="O71" i="24"/>
  <c r="P71" i="24"/>
  <c r="Q71" i="24"/>
  <c r="R71" i="24"/>
  <c r="J72" i="24"/>
  <c r="K72" i="24"/>
  <c r="L72" i="24"/>
  <c r="M72" i="24"/>
  <c r="N72" i="24"/>
  <c r="O72" i="24"/>
  <c r="P72" i="24"/>
  <c r="Q72" i="24"/>
  <c r="R72" i="24"/>
  <c r="I73" i="24"/>
  <c r="J73" i="24"/>
  <c r="K73" i="24"/>
  <c r="L73" i="24"/>
  <c r="M73" i="24"/>
  <c r="N73" i="24"/>
  <c r="O73" i="24"/>
  <c r="P73" i="24"/>
  <c r="Q73" i="24"/>
  <c r="R73" i="24"/>
  <c r="I72" i="24"/>
  <c r="I71" i="24"/>
  <c r="I70" i="24"/>
  <c r="I69" i="24"/>
  <c r="I68" i="24"/>
  <c r="J50" i="24"/>
  <c r="K50" i="24"/>
  <c r="L50" i="24"/>
  <c r="M50" i="24"/>
  <c r="N50" i="24"/>
  <c r="O50" i="24"/>
  <c r="P50" i="24"/>
  <c r="Q50" i="24"/>
  <c r="R50" i="24"/>
  <c r="R49" i="24"/>
  <c r="J49" i="24"/>
  <c r="K49" i="24"/>
  <c r="L49" i="24"/>
  <c r="M49" i="24"/>
  <c r="N49" i="24"/>
  <c r="O49" i="24"/>
  <c r="P49" i="24"/>
  <c r="Q49" i="24"/>
  <c r="J48" i="24"/>
  <c r="K48" i="24"/>
  <c r="L48" i="24"/>
  <c r="M48" i="24"/>
  <c r="N48" i="24"/>
  <c r="O48" i="24"/>
  <c r="P48" i="24"/>
  <c r="Q48" i="24"/>
  <c r="R48" i="24"/>
  <c r="J47" i="24"/>
  <c r="K47" i="24"/>
  <c r="L47" i="24"/>
  <c r="M47" i="24"/>
  <c r="N47" i="24"/>
  <c r="O47" i="24"/>
  <c r="P47" i="24"/>
  <c r="Q47" i="24"/>
  <c r="R47" i="24"/>
  <c r="J46" i="24"/>
  <c r="K46" i="24"/>
  <c r="L46" i="24"/>
  <c r="M46" i="24"/>
  <c r="N46" i="24"/>
  <c r="O46" i="24"/>
  <c r="P46" i="24"/>
  <c r="Q46" i="24"/>
  <c r="R46" i="24"/>
  <c r="J45" i="24"/>
  <c r="K45" i="24"/>
  <c r="L45" i="24"/>
  <c r="M45" i="24"/>
  <c r="N45" i="24"/>
  <c r="O45" i="24"/>
  <c r="P45" i="24"/>
  <c r="Q45" i="24"/>
  <c r="R45" i="24"/>
  <c r="I50" i="24"/>
  <c r="I49" i="24"/>
  <c r="I48" i="24"/>
  <c r="I47" i="24"/>
  <c r="I46" i="24"/>
  <c r="I45" i="24"/>
  <c r="P26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21" i="23"/>
  <c r="H22" i="23"/>
  <c r="H23" i="23"/>
  <c r="H24" i="23"/>
  <c r="H25" i="23"/>
  <c r="H26" i="23"/>
  <c r="H27" i="23"/>
  <c r="H28" i="23"/>
  <c r="H29" i="23"/>
  <c r="H30" i="23"/>
  <c r="H3" i="23"/>
  <c r="N10" i="8"/>
  <c r="N9" i="8"/>
  <c r="N8" i="8"/>
  <c r="N7" i="8"/>
  <c r="M11" i="8"/>
  <c r="F16" i="8" s="1"/>
  <c r="L9" i="8"/>
  <c r="L8" i="8"/>
  <c r="L7" i="8"/>
  <c r="I55" i="24"/>
  <c r="I56" i="24"/>
  <c r="I57" i="24"/>
  <c r="I58" i="24"/>
  <c r="I59" i="24"/>
  <c r="I60" i="24"/>
  <c r="I61" i="24"/>
  <c r="I62" i="24"/>
  <c r="I63" i="24"/>
  <c r="I64" i="24"/>
  <c r="I65" i="24"/>
  <c r="I54" i="24"/>
  <c r="I53" i="24"/>
  <c r="F12" i="8"/>
  <c r="F7" i="8" s="1"/>
  <c r="D21" i="8"/>
  <c r="D23" i="8"/>
  <c r="D22" i="8"/>
  <c r="M22" i="8" s="1"/>
  <c r="AC6" i="7"/>
  <c r="AC7" i="7"/>
  <c r="AC8" i="7"/>
  <c r="AC9" i="7"/>
  <c r="AC10" i="7"/>
  <c r="AC5" i="7"/>
  <c r="N24" i="7"/>
  <c r="N23" i="7"/>
  <c r="H75" i="24"/>
  <c r="H73" i="24"/>
  <c r="H64" i="18"/>
  <c r="H64" i="24" s="1"/>
  <c r="H62" i="18"/>
  <c r="H62" i="24" s="1"/>
  <c r="H60" i="18"/>
  <c r="H57" i="18"/>
  <c r="H57" i="24" s="1"/>
  <c r="H55" i="18"/>
  <c r="H54" i="18"/>
  <c r="H54" i="24"/>
  <c r="H53" i="18"/>
  <c r="H53" i="24"/>
  <c r="C53" i="14"/>
  <c r="BE6" i="7"/>
  <c r="BE7" i="7"/>
  <c r="BF7" i="7" s="1"/>
  <c r="BE8" i="7"/>
  <c r="BF8" i="7" s="1"/>
  <c r="BE9" i="7"/>
  <c r="BF9" i="7" s="1"/>
  <c r="BE10" i="7"/>
  <c r="BF10" i="7" s="1"/>
  <c r="BE5" i="7"/>
  <c r="BF5" i="7" s="1"/>
  <c r="BB6" i="7"/>
  <c r="BC6" i="7" s="1"/>
  <c r="BB7" i="7"/>
  <c r="BC7" i="7" s="1"/>
  <c r="BB8" i="7"/>
  <c r="BB9" i="7"/>
  <c r="BC9" i="7" s="1"/>
  <c r="BB10" i="7"/>
  <c r="BB5" i="7"/>
  <c r="BC5" i="7" s="1"/>
  <c r="AY6" i="7"/>
  <c r="AZ6" i="7" s="1"/>
  <c r="AY7" i="7"/>
  <c r="AZ7" i="7" s="1"/>
  <c r="AY8" i="7"/>
  <c r="AZ8" i="7" s="1"/>
  <c r="AY9" i="7"/>
  <c r="AY10" i="7"/>
  <c r="AY5" i="7"/>
  <c r="AZ5" i="7" s="1"/>
  <c r="AV6" i="7"/>
  <c r="AW6" i="7" s="1"/>
  <c r="AV7" i="7"/>
  <c r="AV8" i="7"/>
  <c r="AV9" i="7"/>
  <c r="AW9" i="7" s="1"/>
  <c r="AV10" i="7"/>
  <c r="AV5" i="7"/>
  <c r="AW5" i="7" s="1"/>
  <c r="H69" i="24"/>
  <c r="H70" i="24"/>
  <c r="H71" i="24"/>
  <c r="H72" i="24"/>
  <c r="H74" i="24"/>
  <c r="H76" i="24"/>
  <c r="H77" i="24"/>
  <c r="H78" i="24"/>
  <c r="H68" i="24"/>
  <c r="H55" i="24"/>
  <c r="H56" i="24"/>
  <c r="H58" i="24"/>
  <c r="H59" i="24"/>
  <c r="H61" i="24"/>
  <c r="H63" i="24"/>
  <c r="H65" i="24"/>
  <c r="H46" i="24"/>
  <c r="H47" i="24"/>
  <c r="H48" i="24"/>
  <c r="H49" i="24"/>
  <c r="H50" i="24"/>
  <c r="H45" i="24"/>
  <c r="AP10" i="7"/>
  <c r="AQ10" i="7" s="1"/>
  <c r="AJ13" i="7"/>
  <c r="AM13" i="7" s="1"/>
  <c r="AN13" i="7" s="1"/>
  <c r="AJ14" i="7"/>
  <c r="AM14" i="7" s="1"/>
  <c r="AN14" i="7" s="1"/>
  <c r="AJ12" i="7"/>
  <c r="AM12" i="7" s="1"/>
  <c r="AJ16" i="7"/>
  <c r="AK16" i="7" s="1"/>
  <c r="G69" i="24"/>
  <c r="G70" i="24"/>
  <c r="G71" i="24"/>
  <c r="G72" i="24"/>
  <c r="G73" i="24"/>
  <c r="G74" i="24"/>
  <c r="G75" i="24"/>
  <c r="G76" i="24"/>
  <c r="G77" i="24"/>
  <c r="G78" i="24"/>
  <c r="G79" i="24"/>
  <c r="G80" i="24"/>
  <c r="F70" i="24"/>
  <c r="F71" i="24"/>
  <c r="F72" i="24"/>
  <c r="F73" i="24"/>
  <c r="F74" i="24"/>
  <c r="F75" i="24"/>
  <c r="F77" i="24"/>
  <c r="F78" i="24"/>
  <c r="E70" i="24"/>
  <c r="E71" i="24"/>
  <c r="E72" i="24"/>
  <c r="E73" i="24"/>
  <c r="E74" i="24"/>
  <c r="E75" i="24"/>
  <c r="E76" i="24"/>
  <c r="E77" i="24"/>
  <c r="E78" i="24"/>
  <c r="E80" i="24"/>
  <c r="G68" i="24"/>
  <c r="D69" i="24"/>
  <c r="D70" i="24"/>
  <c r="D71" i="24"/>
  <c r="D72" i="24"/>
  <c r="D73" i="24"/>
  <c r="D74" i="24"/>
  <c r="D75" i="24"/>
  <c r="D77" i="24"/>
  <c r="D78" i="24"/>
  <c r="D79" i="24"/>
  <c r="D80" i="24"/>
  <c r="D68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53" i="24"/>
  <c r="F54" i="24"/>
  <c r="F56" i="24"/>
  <c r="F58" i="24"/>
  <c r="F59" i="24"/>
  <c r="F61" i="24"/>
  <c r="F62" i="24"/>
  <c r="F63" i="24"/>
  <c r="E56" i="24"/>
  <c r="E58" i="24"/>
  <c r="E59" i="24"/>
  <c r="E61" i="24"/>
  <c r="E62" i="24"/>
  <c r="E6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53" i="24"/>
  <c r="G46" i="24"/>
  <c r="G47" i="24"/>
  <c r="G48" i="24"/>
  <c r="G49" i="24"/>
  <c r="G50" i="24"/>
  <c r="F46" i="24"/>
  <c r="F47" i="24"/>
  <c r="F48" i="24"/>
  <c r="F49" i="24"/>
  <c r="F50" i="24"/>
  <c r="E46" i="24"/>
  <c r="E47" i="24"/>
  <c r="E48" i="24"/>
  <c r="E49" i="24"/>
  <c r="E50" i="24"/>
  <c r="D46" i="24"/>
  <c r="D47" i="24"/>
  <c r="D48" i="24"/>
  <c r="D49" i="24"/>
  <c r="D50" i="24"/>
  <c r="E45" i="24"/>
  <c r="F45" i="24"/>
  <c r="G45" i="24"/>
  <c r="D45" i="24"/>
  <c r="K8" i="24"/>
  <c r="K9" i="24"/>
  <c r="K11" i="24"/>
  <c r="K12" i="24"/>
  <c r="K13" i="24"/>
  <c r="K14" i="24"/>
  <c r="K16" i="24"/>
  <c r="K17" i="24"/>
  <c r="K18" i="24"/>
  <c r="K20" i="24"/>
  <c r="K21" i="24"/>
  <c r="K22" i="24"/>
  <c r="K24" i="24"/>
  <c r="K25" i="24"/>
  <c r="K26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J8" i="24"/>
  <c r="J9" i="24"/>
  <c r="J11" i="24"/>
  <c r="J12" i="24"/>
  <c r="J13" i="24"/>
  <c r="J14" i="24"/>
  <c r="J16" i="24"/>
  <c r="J17" i="24"/>
  <c r="J18" i="24"/>
  <c r="J20" i="24"/>
  <c r="J21" i="24"/>
  <c r="J22" i="24"/>
  <c r="J24" i="24"/>
  <c r="J25" i="24"/>
  <c r="J26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I8" i="24"/>
  <c r="I9" i="24"/>
  <c r="I11" i="24"/>
  <c r="I12" i="24"/>
  <c r="I13" i="24"/>
  <c r="I14" i="24"/>
  <c r="I16" i="24"/>
  <c r="I17" i="24"/>
  <c r="I18" i="24"/>
  <c r="I20" i="24"/>
  <c r="I21" i="24"/>
  <c r="I22" i="24"/>
  <c r="I24" i="24"/>
  <c r="I25" i="24"/>
  <c r="I26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H8" i="24"/>
  <c r="H9" i="24"/>
  <c r="H11" i="24"/>
  <c r="H12" i="24"/>
  <c r="H13" i="24"/>
  <c r="H14" i="24"/>
  <c r="H16" i="24"/>
  <c r="H17" i="24"/>
  <c r="H18" i="24"/>
  <c r="H20" i="24"/>
  <c r="H21" i="24"/>
  <c r="H22" i="24"/>
  <c r="H24" i="24"/>
  <c r="H25" i="24"/>
  <c r="H26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7" i="24"/>
  <c r="I7" i="24"/>
  <c r="J7" i="24"/>
  <c r="K7" i="24"/>
  <c r="L7" i="24"/>
  <c r="M7" i="24"/>
  <c r="N7" i="24"/>
  <c r="O7" i="24"/>
  <c r="P7" i="24"/>
  <c r="Q7" i="24"/>
  <c r="R7" i="24"/>
  <c r="G8" i="24"/>
  <c r="G9" i="24"/>
  <c r="G11" i="24"/>
  <c r="G12" i="24"/>
  <c r="G13" i="24"/>
  <c r="G14" i="24"/>
  <c r="G16" i="24"/>
  <c r="G17" i="24"/>
  <c r="G18" i="24"/>
  <c r="G20" i="24"/>
  <c r="G21" i="24"/>
  <c r="G22" i="24"/>
  <c r="G24" i="24"/>
  <c r="G25" i="24"/>
  <c r="G26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7" i="24"/>
  <c r="F8" i="24"/>
  <c r="F9" i="24"/>
  <c r="F11" i="24"/>
  <c r="F12" i="24"/>
  <c r="F13" i="24"/>
  <c r="F14" i="24"/>
  <c r="F16" i="24"/>
  <c r="F17" i="24"/>
  <c r="F18" i="24"/>
  <c r="F20" i="24"/>
  <c r="F21" i="24"/>
  <c r="F22" i="24"/>
  <c r="F24" i="24"/>
  <c r="F25" i="24"/>
  <c r="F26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7" i="24"/>
  <c r="E8" i="24"/>
  <c r="E9" i="24"/>
  <c r="E11" i="24"/>
  <c r="E12" i="24"/>
  <c r="E13" i="24"/>
  <c r="E14" i="24"/>
  <c r="E16" i="24"/>
  <c r="E17" i="24"/>
  <c r="E18" i="24"/>
  <c r="E20" i="24"/>
  <c r="E21" i="24"/>
  <c r="E22" i="24"/>
  <c r="E24" i="24"/>
  <c r="E25" i="24"/>
  <c r="E26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7" i="24"/>
  <c r="D8" i="24"/>
  <c r="D9" i="24"/>
  <c r="D11" i="24"/>
  <c r="D12" i="24"/>
  <c r="D13" i="24"/>
  <c r="D14" i="24"/>
  <c r="D16" i="24"/>
  <c r="D17" i="24"/>
  <c r="D18" i="24"/>
  <c r="D20" i="24"/>
  <c r="D21" i="24"/>
  <c r="D22" i="24"/>
  <c r="D24" i="24"/>
  <c r="D25" i="24"/>
  <c r="D26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7" i="24"/>
  <c r="E69" i="24"/>
  <c r="F80" i="24"/>
  <c r="E79" i="24"/>
  <c r="E68" i="24"/>
  <c r="F69" i="24"/>
  <c r="AA10" i="7"/>
  <c r="D76" i="24"/>
  <c r="E65" i="18"/>
  <c r="E65" i="24" s="1"/>
  <c r="E64" i="18"/>
  <c r="E64" i="24" s="1"/>
  <c r="E60" i="18"/>
  <c r="E57" i="18"/>
  <c r="E55" i="18"/>
  <c r="C55" i="18" s="1"/>
  <c r="E54" i="18"/>
  <c r="C54" i="18" s="1"/>
  <c r="E54" i="24"/>
  <c r="E53" i="18"/>
  <c r="F53" i="18" s="1"/>
  <c r="E57" i="24"/>
  <c r="F55" i="18"/>
  <c r="F55" i="24"/>
  <c r="F64" i="18"/>
  <c r="F64" i="24" s="1"/>
  <c r="E53" i="24"/>
  <c r="R81" i="18"/>
  <c r="Q81" i="18"/>
  <c r="P81" i="18"/>
  <c r="O81" i="18"/>
  <c r="N81" i="18"/>
  <c r="N82" i="18" s="1"/>
  <c r="M81" i="18"/>
  <c r="M82" i="18" s="1"/>
  <c r="L81" i="18"/>
  <c r="K81" i="18"/>
  <c r="J81" i="18"/>
  <c r="J82" i="18" s="1"/>
  <c r="L29" i="8"/>
  <c r="I81" i="18"/>
  <c r="I29" i="8" s="1"/>
  <c r="H81" i="18"/>
  <c r="F29" i="8" s="1"/>
  <c r="G81" i="18"/>
  <c r="C29" i="8" s="1"/>
  <c r="E81" i="18"/>
  <c r="I21" i="8" s="1"/>
  <c r="R66" i="18"/>
  <c r="R82" i="18" s="1"/>
  <c r="Q66" i="18"/>
  <c r="Q82" i="18" s="1"/>
  <c r="P66" i="18"/>
  <c r="O66" i="18"/>
  <c r="M66" i="18"/>
  <c r="L66" i="18"/>
  <c r="L82" i="18" s="1"/>
  <c r="K66" i="18"/>
  <c r="K82" i="18" s="1"/>
  <c r="I66" i="18"/>
  <c r="I82" i="18" s="1"/>
  <c r="G66" i="18"/>
  <c r="B29" i="8"/>
  <c r="D66" i="18"/>
  <c r="E21" i="8"/>
  <c r="C63" i="18"/>
  <c r="C62" i="18"/>
  <c r="C61" i="18"/>
  <c r="C59" i="18"/>
  <c r="C58" i="18"/>
  <c r="C56" i="18"/>
  <c r="C50" i="18"/>
  <c r="C49" i="18"/>
  <c r="C48" i="18"/>
  <c r="C47" i="18"/>
  <c r="C46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6" i="18"/>
  <c r="C25" i="18"/>
  <c r="C24" i="18"/>
  <c r="C22" i="18"/>
  <c r="C21" i="18"/>
  <c r="C20" i="18"/>
  <c r="C18" i="18"/>
  <c r="C17" i="18"/>
  <c r="C16" i="18"/>
  <c r="C14" i="18"/>
  <c r="C13" i="18"/>
  <c r="C12" i="18"/>
  <c r="C11" i="18"/>
  <c r="C9" i="18"/>
  <c r="C8" i="18"/>
  <c r="C7" i="18"/>
  <c r="C69" i="14"/>
  <c r="C70" i="14"/>
  <c r="C71" i="14"/>
  <c r="C72" i="14"/>
  <c r="C81" i="14" s="1"/>
  <c r="I8" i="8" s="1"/>
  <c r="C73" i="14"/>
  <c r="C74" i="14"/>
  <c r="C75" i="14"/>
  <c r="C76" i="14"/>
  <c r="C77" i="14"/>
  <c r="C78" i="14"/>
  <c r="C79" i="14"/>
  <c r="C80" i="14"/>
  <c r="C68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8" i="14"/>
  <c r="C9" i="14"/>
  <c r="C7" i="14"/>
  <c r="C12" i="14"/>
  <c r="C13" i="14"/>
  <c r="C14" i="14"/>
  <c r="C11" i="14"/>
  <c r="C17" i="14"/>
  <c r="C18" i="14"/>
  <c r="C16" i="14"/>
  <c r="C21" i="14"/>
  <c r="C22" i="14"/>
  <c r="C20" i="14"/>
  <c r="C25" i="14"/>
  <c r="C26" i="14"/>
  <c r="C24" i="14"/>
  <c r="C34" i="14"/>
  <c r="C32" i="14"/>
  <c r="C33" i="14"/>
  <c r="C35" i="14"/>
  <c r="C36" i="14"/>
  <c r="C37" i="14"/>
  <c r="C38" i="14"/>
  <c r="C39" i="14"/>
  <c r="C40" i="14"/>
  <c r="C41" i="14"/>
  <c r="C42" i="14"/>
  <c r="C43" i="14"/>
  <c r="C30" i="14"/>
  <c r="C31" i="14"/>
  <c r="C29" i="14"/>
  <c r="C28" i="14"/>
  <c r="C65" i="16"/>
  <c r="C64" i="16"/>
  <c r="C57" i="16"/>
  <c r="C56" i="16"/>
  <c r="C58" i="16"/>
  <c r="C59" i="16"/>
  <c r="C60" i="16"/>
  <c r="C61" i="16"/>
  <c r="C62" i="16"/>
  <c r="C63" i="16"/>
  <c r="C55" i="16"/>
  <c r="C54" i="16"/>
  <c r="C53" i="16"/>
  <c r="R81" i="16"/>
  <c r="Q81" i="16"/>
  <c r="P81" i="16"/>
  <c r="P82" i="16" s="1"/>
  <c r="O81" i="16"/>
  <c r="N81" i="16"/>
  <c r="M81" i="16"/>
  <c r="K81" i="16"/>
  <c r="K82" i="16" s="1"/>
  <c r="J81" i="16"/>
  <c r="L31" i="8" s="1"/>
  <c r="I81" i="16"/>
  <c r="H81" i="16"/>
  <c r="F31" i="8" s="1"/>
  <c r="G81" i="16"/>
  <c r="C31" i="8" s="1"/>
  <c r="F81" i="16"/>
  <c r="L23" i="8" s="1"/>
  <c r="E81" i="16"/>
  <c r="I23" i="8" s="1"/>
  <c r="D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R66" i="16"/>
  <c r="Q66" i="16"/>
  <c r="P66" i="16"/>
  <c r="O66" i="16"/>
  <c r="N66" i="16"/>
  <c r="M66" i="16"/>
  <c r="M82" i="16" s="1"/>
  <c r="L66" i="16"/>
  <c r="K66" i="16"/>
  <c r="J66" i="16"/>
  <c r="I66" i="16"/>
  <c r="H66" i="16"/>
  <c r="E31" i="8"/>
  <c r="G66" i="16"/>
  <c r="G82" i="16" s="1"/>
  <c r="B31" i="8"/>
  <c r="F66" i="16"/>
  <c r="K23" i="8"/>
  <c r="E66" i="16"/>
  <c r="H23" i="8" s="1"/>
  <c r="D66" i="16"/>
  <c r="D82" i="16" s="1"/>
  <c r="F23" i="8"/>
  <c r="C50" i="16"/>
  <c r="C49" i="16"/>
  <c r="C48" i="16"/>
  <c r="C47" i="16"/>
  <c r="C46" i="16"/>
  <c r="C45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6" i="16"/>
  <c r="C25" i="16"/>
  <c r="C24" i="16"/>
  <c r="C22" i="16"/>
  <c r="C21" i="16"/>
  <c r="C20" i="16"/>
  <c r="C18" i="16"/>
  <c r="C17" i="16"/>
  <c r="C16" i="16"/>
  <c r="C14" i="16"/>
  <c r="C13" i="16"/>
  <c r="C12" i="16"/>
  <c r="C11" i="16"/>
  <c r="C9" i="16"/>
  <c r="C8" i="16"/>
  <c r="C7" i="16"/>
  <c r="Q82" i="16"/>
  <c r="K31" i="8"/>
  <c r="L6" i="7"/>
  <c r="M6" i="7" s="1"/>
  <c r="L7" i="7"/>
  <c r="L8" i="7"/>
  <c r="L9" i="7"/>
  <c r="M9" i="7"/>
  <c r="L10" i="7"/>
  <c r="M10" i="7" s="1"/>
  <c r="L5" i="7"/>
  <c r="M5" i="7" s="1"/>
  <c r="I6" i="7"/>
  <c r="J6" i="7" s="1"/>
  <c r="I7" i="7"/>
  <c r="J7" i="7"/>
  <c r="I8" i="7"/>
  <c r="J8" i="7" s="1"/>
  <c r="I9" i="7"/>
  <c r="J9" i="7" s="1"/>
  <c r="I10" i="7"/>
  <c r="J10" i="7" s="1"/>
  <c r="I5" i="7"/>
  <c r="J5" i="7" s="1"/>
  <c r="F6" i="7"/>
  <c r="G6" i="7" s="1"/>
  <c r="F7" i="7"/>
  <c r="F8" i="7"/>
  <c r="F9" i="7"/>
  <c r="F10" i="7"/>
  <c r="F5" i="7"/>
  <c r="C6" i="7"/>
  <c r="C7" i="7"/>
  <c r="C8" i="7"/>
  <c r="C9" i="7"/>
  <c r="C10" i="7"/>
  <c r="C5" i="7"/>
  <c r="R81" i="14"/>
  <c r="Q81" i="14"/>
  <c r="P81" i="14"/>
  <c r="O81" i="14"/>
  <c r="O82" i="14" s="1"/>
  <c r="N81" i="14"/>
  <c r="N82" i="14" s="1"/>
  <c r="M81" i="14"/>
  <c r="L81" i="14"/>
  <c r="J81" i="14"/>
  <c r="I81" i="14"/>
  <c r="I28" i="8"/>
  <c r="H81" i="14"/>
  <c r="F28" i="8" s="1"/>
  <c r="G81" i="14"/>
  <c r="C28" i="8" s="1"/>
  <c r="F81" i="14"/>
  <c r="L20" i="8" s="1"/>
  <c r="E81" i="14"/>
  <c r="I20" i="8"/>
  <c r="D81" i="14"/>
  <c r="F20" i="8"/>
  <c r="R66" i="14"/>
  <c r="R82" i="14" s="1"/>
  <c r="Q66" i="14"/>
  <c r="P66" i="14"/>
  <c r="O66" i="14"/>
  <c r="N66" i="14"/>
  <c r="M66" i="14"/>
  <c r="M82" i="14" s="1"/>
  <c r="L66" i="14"/>
  <c r="L82" i="14" s="1"/>
  <c r="K66" i="14"/>
  <c r="J66" i="14"/>
  <c r="K28" i="8" s="1"/>
  <c r="I66" i="14"/>
  <c r="H28" i="8" s="1"/>
  <c r="H66" i="14"/>
  <c r="E28" i="8" s="1"/>
  <c r="G66" i="14"/>
  <c r="B28" i="8"/>
  <c r="F66" i="14"/>
  <c r="K20" i="8" s="1"/>
  <c r="E66" i="14"/>
  <c r="H20" i="8" s="1"/>
  <c r="D66" i="14"/>
  <c r="D82" i="14" s="1"/>
  <c r="E20" i="8" s="1"/>
  <c r="D81" i="12"/>
  <c r="F22" i="8" s="1"/>
  <c r="E81" i="12"/>
  <c r="I22" i="8" s="1"/>
  <c r="F81" i="12"/>
  <c r="L22" i="8" s="1"/>
  <c r="G81" i="12"/>
  <c r="C30" i="8" s="1"/>
  <c r="H81" i="12"/>
  <c r="F30" i="8" s="1"/>
  <c r="I81" i="12"/>
  <c r="I30" i="8"/>
  <c r="J81" i="12"/>
  <c r="L30" i="8" s="1"/>
  <c r="K81" i="12"/>
  <c r="L81" i="12"/>
  <c r="M81" i="12"/>
  <c r="N81" i="12"/>
  <c r="O81" i="12"/>
  <c r="P81" i="12"/>
  <c r="P82" i="12" s="1"/>
  <c r="Q81" i="12"/>
  <c r="R81" i="12"/>
  <c r="R82" i="12" s="1"/>
  <c r="E66" i="12"/>
  <c r="H22" i="8" s="1"/>
  <c r="F66" i="12"/>
  <c r="G66" i="12"/>
  <c r="B30" i="8" s="1"/>
  <c r="H66" i="12"/>
  <c r="E30" i="8" s="1"/>
  <c r="I66" i="12"/>
  <c r="H30" i="8" s="1"/>
  <c r="J66" i="12"/>
  <c r="K30" i="8" s="1"/>
  <c r="K66" i="12"/>
  <c r="L66" i="12"/>
  <c r="M66" i="12"/>
  <c r="M82" i="12" s="1"/>
  <c r="N66" i="12"/>
  <c r="O66" i="12"/>
  <c r="P66" i="12"/>
  <c r="Q66" i="12"/>
  <c r="R66" i="12"/>
  <c r="D66" i="12"/>
  <c r="E22" i="8" s="1"/>
  <c r="L28" i="8"/>
  <c r="F82" i="12"/>
  <c r="C20" i="12"/>
  <c r="C21" i="12"/>
  <c r="C56" i="12"/>
  <c r="C57" i="12"/>
  <c r="C58" i="12"/>
  <c r="C59" i="12"/>
  <c r="C60" i="12"/>
  <c r="C61" i="12"/>
  <c r="C63" i="12"/>
  <c r="C64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5" i="12"/>
  <c r="C46" i="12"/>
  <c r="C47" i="12"/>
  <c r="C48" i="12"/>
  <c r="C49" i="12"/>
  <c r="C50" i="12"/>
  <c r="C28" i="12"/>
  <c r="C25" i="12"/>
  <c r="C26" i="12"/>
  <c r="C24" i="12"/>
  <c r="C22" i="12"/>
  <c r="C17" i="12"/>
  <c r="C18" i="12"/>
  <c r="C16" i="12"/>
  <c r="C12" i="12"/>
  <c r="C13" i="12"/>
  <c r="C14" i="12"/>
  <c r="C11" i="12"/>
  <c r="C8" i="12"/>
  <c r="C9" i="12"/>
  <c r="C7" i="12"/>
  <c r="K22" i="7"/>
  <c r="K23" i="7"/>
  <c r="K24" i="7"/>
  <c r="K25" i="7"/>
  <c r="K26" i="7"/>
  <c r="K21" i="7"/>
  <c r="H22" i="7"/>
  <c r="H23" i="7"/>
  <c r="H24" i="7"/>
  <c r="H25" i="7"/>
  <c r="H26" i="7"/>
  <c r="H21" i="7"/>
  <c r="B23" i="7"/>
  <c r="E23" i="7"/>
  <c r="E26" i="7"/>
  <c r="B26" i="7"/>
  <c r="E33" i="7" s="1"/>
  <c r="E22" i="7"/>
  <c r="B22" i="7"/>
  <c r="B24" i="7"/>
  <c r="E24" i="7"/>
  <c r="B21" i="7"/>
  <c r="E21" i="7"/>
  <c r="E25" i="7"/>
  <c r="B25" i="7"/>
  <c r="E32" i="7" s="1"/>
  <c r="H32" i="7" s="1"/>
  <c r="AZ10" i="7"/>
  <c r="AW10" i="7"/>
  <c r="AN10" i="7"/>
  <c r="Y10" i="7"/>
  <c r="AZ9" i="7"/>
  <c r="AQ9" i="7"/>
  <c r="AK9" i="7"/>
  <c r="AH9" i="7"/>
  <c r="AB9" i="7"/>
  <c r="Y9" i="7"/>
  <c r="AN8" i="7"/>
  <c r="AK8" i="7"/>
  <c r="AH8" i="7"/>
  <c r="AB8" i="7"/>
  <c r="Y8" i="7"/>
  <c r="AK7" i="7"/>
  <c r="AH7" i="7"/>
  <c r="AB7" i="7"/>
  <c r="Y7" i="7"/>
  <c r="D7" i="7"/>
  <c r="BF6" i="7"/>
  <c r="AK6" i="7"/>
  <c r="AH6" i="7"/>
  <c r="AB6" i="7"/>
  <c r="AQ5" i="7"/>
  <c r="AK5" i="7"/>
  <c r="AH5" i="7"/>
  <c r="AB5" i="7"/>
  <c r="Y5" i="7"/>
  <c r="E29" i="28" l="1"/>
  <c r="G29" i="28"/>
  <c r="G31" i="28"/>
  <c r="F31" i="28"/>
  <c r="E28" i="7"/>
  <c r="AN12" i="7"/>
  <c r="V17" i="7"/>
  <c r="N22" i="7"/>
  <c r="N26" i="7"/>
  <c r="N21" i="7"/>
  <c r="C26" i="7"/>
  <c r="AQ8" i="7"/>
  <c r="AK10" i="7"/>
  <c r="AS7" i="7"/>
  <c r="AT7" i="7" s="1"/>
  <c r="D9" i="40" s="1"/>
  <c r="AY17" i="7"/>
  <c r="AZ17" i="7" s="1"/>
  <c r="E30" i="7"/>
  <c r="H30" i="7" s="1"/>
  <c r="E31" i="7"/>
  <c r="H31" i="7" s="1"/>
  <c r="F26" i="7"/>
  <c r="G26" i="7" s="1"/>
  <c r="H33" i="7"/>
  <c r="H28" i="7"/>
  <c r="G31" i="8"/>
  <c r="M31" i="8"/>
  <c r="N11" i="8"/>
  <c r="D31" i="28"/>
  <c r="C31" i="28"/>
  <c r="G30" i="28"/>
  <c r="F30" i="28"/>
  <c r="D30" i="28"/>
  <c r="H29" i="28"/>
  <c r="E32" i="28"/>
  <c r="E28" i="28" s="1"/>
  <c r="C32" i="28"/>
  <c r="F32" i="28"/>
  <c r="D30" i="8"/>
  <c r="D29" i="8"/>
  <c r="G21" i="8"/>
  <c r="M23" i="8"/>
  <c r="N14" i="8"/>
  <c r="G2" i="8"/>
  <c r="G22" i="8"/>
  <c r="G23" i="8"/>
  <c r="M30" i="8"/>
  <c r="O15" i="8"/>
  <c r="P15" i="8" s="1"/>
  <c r="J30" i="8"/>
  <c r="D31" i="8"/>
  <c r="P19" i="23"/>
  <c r="P20" i="23"/>
  <c r="P23" i="23"/>
  <c r="E82" i="12"/>
  <c r="G82" i="12"/>
  <c r="H82" i="12"/>
  <c r="AS6" i="7"/>
  <c r="AT6" i="7" s="1"/>
  <c r="D8" i="40" s="1"/>
  <c r="N82" i="12"/>
  <c r="Q82" i="12"/>
  <c r="O82" i="12"/>
  <c r="J82" i="12"/>
  <c r="K82" i="12"/>
  <c r="D82" i="12"/>
  <c r="C66" i="12"/>
  <c r="E10" i="8" s="1"/>
  <c r="AS11" i="7" s="1"/>
  <c r="D13" i="40" s="1"/>
  <c r="O30" i="8"/>
  <c r="G30" i="8"/>
  <c r="N30" i="8"/>
  <c r="P30" i="8" s="1"/>
  <c r="N22" i="8"/>
  <c r="P22" i="8" s="1"/>
  <c r="J22" i="8"/>
  <c r="O22" i="8"/>
  <c r="AS5" i="7"/>
  <c r="AT5" i="7" s="1"/>
  <c r="D7" i="40" s="1"/>
  <c r="AM17" i="7"/>
  <c r="AN17" i="7" s="1"/>
  <c r="AJ15" i="7"/>
  <c r="AK15" i="7" s="1"/>
  <c r="C81" i="12"/>
  <c r="L82" i="12"/>
  <c r="I82" i="12"/>
  <c r="M29" i="8"/>
  <c r="C76" i="18"/>
  <c r="D81" i="18"/>
  <c r="E55" i="24"/>
  <c r="F65" i="18"/>
  <c r="F65" i="24" s="1"/>
  <c r="C65" i="24" s="1"/>
  <c r="C64" i="18"/>
  <c r="AD10" i="7"/>
  <c r="AE10" i="7" s="1"/>
  <c r="C12" i="40" s="1"/>
  <c r="V8" i="7"/>
  <c r="U15" i="7"/>
  <c r="V15" i="7" s="1"/>
  <c r="V6" i="7"/>
  <c r="O82" i="18"/>
  <c r="H29" i="8"/>
  <c r="J29" i="8" s="1"/>
  <c r="V7" i="7"/>
  <c r="E66" i="18"/>
  <c r="H21" i="8" s="1"/>
  <c r="F21" i="7"/>
  <c r="G82" i="18"/>
  <c r="P82" i="18"/>
  <c r="H66" i="18"/>
  <c r="E29" i="8" s="1"/>
  <c r="X12" i="7"/>
  <c r="V12" i="7"/>
  <c r="X14" i="7"/>
  <c r="Y14" i="7" s="1"/>
  <c r="V14" i="7"/>
  <c r="C60" i="18"/>
  <c r="O29" i="8"/>
  <c r="F53" i="24"/>
  <c r="C53" i="18"/>
  <c r="H82" i="18"/>
  <c r="F68" i="24"/>
  <c r="C68" i="24" s="1"/>
  <c r="F81" i="18"/>
  <c r="L21" i="8" s="1"/>
  <c r="V5" i="7"/>
  <c r="AD5" i="7"/>
  <c r="AE5" i="7" s="1"/>
  <c r="C7" i="40" s="1"/>
  <c r="H60" i="24"/>
  <c r="H66" i="24" s="1"/>
  <c r="U16" i="7"/>
  <c r="V16" i="7" s="1"/>
  <c r="F25" i="7"/>
  <c r="G25" i="7" s="1"/>
  <c r="F57" i="18"/>
  <c r="F57" i="24" s="1"/>
  <c r="C57" i="24" s="1"/>
  <c r="AD9" i="7"/>
  <c r="AE9" i="7" s="1"/>
  <c r="C11" i="40" s="1"/>
  <c r="C68" i="18"/>
  <c r="C81" i="18" s="1"/>
  <c r="I9" i="8" s="1"/>
  <c r="AB10" i="7"/>
  <c r="AD7" i="7"/>
  <c r="AE7" i="7" s="1"/>
  <c r="C9" i="40" s="1"/>
  <c r="F60" i="18"/>
  <c r="F60" i="24" s="1"/>
  <c r="F79" i="24"/>
  <c r="C79" i="24" s="1"/>
  <c r="E60" i="24"/>
  <c r="AD6" i="7"/>
  <c r="AE6" i="7" s="1"/>
  <c r="C8" i="40" s="1"/>
  <c r="X17" i="7"/>
  <c r="Y17" i="7" s="1"/>
  <c r="F82" i="16"/>
  <c r="BH7" i="7"/>
  <c r="BI7" i="7" s="1"/>
  <c r="E9" i="40" s="1"/>
  <c r="I31" i="8"/>
  <c r="I32" i="8" s="1"/>
  <c r="I82" i="16"/>
  <c r="O82" i="16"/>
  <c r="AY12" i="7"/>
  <c r="AZ12" i="7" s="1"/>
  <c r="N82" i="16"/>
  <c r="H82" i="16"/>
  <c r="AY16" i="7"/>
  <c r="AZ16" i="7" s="1"/>
  <c r="J82" i="16"/>
  <c r="R82" i="16"/>
  <c r="O23" i="8"/>
  <c r="N23" i="8"/>
  <c r="P23" i="8" s="1"/>
  <c r="J23" i="8"/>
  <c r="E82" i="16"/>
  <c r="L24" i="7"/>
  <c r="M24" i="7" s="1"/>
  <c r="L23" i="7"/>
  <c r="M23" i="7" s="1"/>
  <c r="L25" i="7"/>
  <c r="M25" i="7" s="1"/>
  <c r="L32" i="8"/>
  <c r="F32" i="8"/>
  <c r="H31" i="8"/>
  <c r="J31" i="8" s="1"/>
  <c r="BH9" i="7"/>
  <c r="BI9" i="7" s="1"/>
  <c r="E11" i="40" s="1"/>
  <c r="C22" i="7"/>
  <c r="D22" i="7" s="1"/>
  <c r="AY15" i="7"/>
  <c r="AZ15" i="7" s="1"/>
  <c r="AY13" i="7"/>
  <c r="AZ13" i="7" s="1"/>
  <c r="C49" i="24"/>
  <c r="C76" i="24"/>
  <c r="C77" i="24"/>
  <c r="C72" i="24"/>
  <c r="G66" i="24"/>
  <c r="C78" i="24"/>
  <c r="C69" i="24"/>
  <c r="C73" i="24"/>
  <c r="C61" i="24"/>
  <c r="K66" i="24"/>
  <c r="C16" i="24"/>
  <c r="P81" i="24"/>
  <c r="L26" i="7"/>
  <c r="M26" i="7" s="1"/>
  <c r="X15" i="7"/>
  <c r="Y15" i="7" s="1"/>
  <c r="AK13" i="7"/>
  <c r="F24" i="7"/>
  <c r="G24" i="7" s="1"/>
  <c r="AW8" i="7"/>
  <c r="C25" i="7"/>
  <c r="D25" i="7" s="1"/>
  <c r="F23" i="7"/>
  <c r="G23" i="7" s="1"/>
  <c r="M7" i="7"/>
  <c r="X16" i="7"/>
  <c r="Y16" i="7" s="1"/>
  <c r="Y12" i="7"/>
  <c r="AK12" i="7"/>
  <c r="AS10" i="7"/>
  <c r="AT10" i="7" s="1"/>
  <c r="D12" i="40" s="1"/>
  <c r="BH10" i="7"/>
  <c r="E29" i="7"/>
  <c r="H29" i="7" s="1"/>
  <c r="AK14" i="7"/>
  <c r="BH8" i="7"/>
  <c r="BI8" i="7" s="1"/>
  <c r="E10" i="40" s="1"/>
  <c r="AY14" i="7"/>
  <c r="AZ14" i="7" s="1"/>
  <c r="BB16" i="7"/>
  <c r="BC16" i="7" s="1"/>
  <c r="G10" i="7"/>
  <c r="AM16" i="7"/>
  <c r="AN16" i="7" s="1"/>
  <c r="C24" i="7"/>
  <c r="AW7" i="7"/>
  <c r="L21" i="7"/>
  <c r="M21" i="7" s="1"/>
  <c r="G21" i="7"/>
  <c r="F15" i="7"/>
  <c r="G15" i="7" s="1"/>
  <c r="D6" i="7"/>
  <c r="I21" i="7"/>
  <c r="J21" i="7" s="1"/>
  <c r="O5" i="7"/>
  <c r="G5" i="7"/>
  <c r="C43" i="24"/>
  <c r="C32" i="24"/>
  <c r="C42" i="24"/>
  <c r="C31" i="24"/>
  <c r="C30" i="24"/>
  <c r="C12" i="24"/>
  <c r="G81" i="24"/>
  <c r="D8" i="7"/>
  <c r="G9" i="7"/>
  <c r="F14" i="7"/>
  <c r="I14" i="7" s="1"/>
  <c r="J14" i="7" s="1"/>
  <c r="C9" i="24"/>
  <c r="N81" i="24"/>
  <c r="O81" i="24"/>
  <c r="Q66" i="24"/>
  <c r="R66" i="24"/>
  <c r="J66" i="24"/>
  <c r="D10" i="7"/>
  <c r="C39" i="24"/>
  <c r="G8" i="7"/>
  <c r="C74" i="24"/>
  <c r="G7" i="7"/>
  <c r="G82" i="14"/>
  <c r="P82" i="14"/>
  <c r="O9" i="7"/>
  <c r="C36" i="24"/>
  <c r="C28" i="24"/>
  <c r="C38" i="24"/>
  <c r="C20" i="24"/>
  <c r="C50" i="24"/>
  <c r="C47" i="24"/>
  <c r="D9" i="7"/>
  <c r="E82" i="14"/>
  <c r="Q82" i="14"/>
  <c r="C26" i="24"/>
  <c r="C48" i="24"/>
  <c r="D66" i="24"/>
  <c r="C58" i="24"/>
  <c r="C59" i="24"/>
  <c r="C80" i="24"/>
  <c r="D81" i="24"/>
  <c r="C75" i="24"/>
  <c r="C63" i="24"/>
  <c r="H81" i="24"/>
  <c r="I81" i="24"/>
  <c r="Q81" i="24"/>
  <c r="R81" i="24"/>
  <c r="J81" i="24"/>
  <c r="K81" i="24"/>
  <c r="M81" i="24"/>
  <c r="M66" i="24"/>
  <c r="N66" i="24"/>
  <c r="O66" i="24"/>
  <c r="P66" i="24"/>
  <c r="C11" i="24"/>
  <c r="C13" i="24"/>
  <c r="C22" i="24"/>
  <c r="C24" i="24"/>
  <c r="C33" i="24"/>
  <c r="C40" i="24"/>
  <c r="C41" i="24"/>
  <c r="C70" i="24"/>
  <c r="O20" i="8"/>
  <c r="D26" i="7"/>
  <c r="F33" i="7"/>
  <c r="G33" i="7" s="1"/>
  <c r="P5" i="7"/>
  <c r="F7" i="40" s="1"/>
  <c r="C71" i="24"/>
  <c r="C46" i="24"/>
  <c r="C21" i="7"/>
  <c r="C64" i="24"/>
  <c r="C21" i="24"/>
  <c r="C23" i="7"/>
  <c r="F22" i="7"/>
  <c r="G22" i="7" s="1"/>
  <c r="F13" i="7"/>
  <c r="O10" i="7"/>
  <c r="D5" i="7"/>
  <c r="O6" i="7"/>
  <c r="F17" i="7"/>
  <c r="F16" i="7"/>
  <c r="M8" i="7"/>
  <c r="D20" i="8"/>
  <c r="F12" i="7"/>
  <c r="C8" i="24"/>
  <c r="C18" i="24"/>
  <c r="C29" i="24"/>
  <c r="C37" i="24"/>
  <c r="O28" i="8"/>
  <c r="O8" i="7"/>
  <c r="C54" i="24"/>
  <c r="O7" i="7"/>
  <c r="E81" i="24"/>
  <c r="C17" i="24"/>
  <c r="L22" i="7"/>
  <c r="M22" i="7" s="1"/>
  <c r="C45" i="24"/>
  <c r="I82" i="14"/>
  <c r="C7" i="24"/>
  <c r="C35" i="24"/>
  <c r="C14" i="24"/>
  <c r="C25" i="24"/>
  <c r="C34" i="24"/>
  <c r="C56" i="24"/>
  <c r="K82" i="14"/>
  <c r="J82" i="14"/>
  <c r="K32" i="8"/>
  <c r="M32" i="8" s="1"/>
  <c r="I66" i="24"/>
  <c r="C62" i="24"/>
  <c r="N28" i="8"/>
  <c r="H82" i="14"/>
  <c r="C66" i="14"/>
  <c r="N20" i="8"/>
  <c r="F82" i="14"/>
  <c r="C53" i="24"/>
  <c r="L9" i="36"/>
  <c r="N9" i="36"/>
  <c r="J9" i="36"/>
  <c r="M9" i="36"/>
  <c r="H5" i="36"/>
  <c r="H9" i="36" s="1"/>
  <c r="D5" i="36"/>
  <c r="D9" i="36" s="1"/>
  <c r="P9" i="36"/>
  <c r="O9" i="36"/>
  <c r="I9" i="36"/>
  <c r="E5" i="36"/>
  <c r="E9" i="36" s="1"/>
  <c r="K9" i="36"/>
  <c r="B5" i="36"/>
  <c r="B9" i="36" s="1"/>
  <c r="C5" i="36"/>
  <c r="C9" i="36" s="1"/>
  <c r="F5" i="36"/>
  <c r="F9" i="36" s="1"/>
  <c r="X13" i="7"/>
  <c r="Y13" i="7" s="1"/>
  <c r="Y6" i="7"/>
  <c r="L81" i="24"/>
  <c r="C81" i="16"/>
  <c r="I11" i="8" s="1"/>
  <c r="L82" i="16"/>
  <c r="C66" i="16"/>
  <c r="E11" i="8"/>
  <c r="L66" i="24"/>
  <c r="BC10" i="7"/>
  <c r="BB17" i="7"/>
  <c r="BC17" i="7" s="1"/>
  <c r="I26" i="7"/>
  <c r="I25" i="7"/>
  <c r="I24" i="7"/>
  <c r="BC8" i="7"/>
  <c r="I23" i="7"/>
  <c r="I22" i="7"/>
  <c r="BH6" i="7"/>
  <c r="BH5" i="7"/>
  <c r="P11" i="23"/>
  <c r="P24" i="23"/>
  <c r="P21" i="23"/>
  <c r="P7" i="23"/>
  <c r="P12" i="23"/>
  <c r="P15" i="23"/>
  <c r="P5" i="23"/>
  <c r="P22" i="23"/>
  <c r="P8" i="23"/>
  <c r="P6" i="23"/>
  <c r="P29" i="23" s="1"/>
  <c r="P17" i="23"/>
  <c r="P13" i="23"/>
  <c r="P16" i="23"/>
  <c r="P10" i="23"/>
  <c r="O29" i="23" s="1"/>
  <c r="P9" i="23"/>
  <c r="Q29" i="23" s="1"/>
  <c r="P18" i="23"/>
  <c r="P14" i="23"/>
  <c r="L11" i="8"/>
  <c r="N29" i="23" l="1"/>
  <c r="D28" i="28"/>
  <c r="G28" i="28"/>
  <c r="I10" i="8"/>
  <c r="I12" i="8" s="1"/>
  <c r="J11" i="8"/>
  <c r="C23" i="8" s="1"/>
  <c r="BB13" i="7"/>
  <c r="BC13" i="7" s="1"/>
  <c r="H31" i="28"/>
  <c r="H30" i="28"/>
  <c r="F28" i="28"/>
  <c r="H32" i="28"/>
  <c r="C28" i="28"/>
  <c r="H32" i="8"/>
  <c r="E66" i="24"/>
  <c r="AM15" i="7"/>
  <c r="AN15" i="7" s="1"/>
  <c r="C82" i="12"/>
  <c r="C55" i="24"/>
  <c r="F66" i="24"/>
  <c r="F82" i="24" s="1"/>
  <c r="H10" i="8"/>
  <c r="D15" i="40" s="1"/>
  <c r="G10" i="8"/>
  <c r="G29" i="8"/>
  <c r="E32" i="8"/>
  <c r="F31" i="7"/>
  <c r="G31" i="7" s="1"/>
  <c r="J21" i="8"/>
  <c r="C60" i="24"/>
  <c r="C66" i="24" s="1"/>
  <c r="F21" i="8"/>
  <c r="D82" i="18"/>
  <c r="E82" i="18"/>
  <c r="C57" i="18"/>
  <c r="C66" i="18" s="1"/>
  <c r="C65" i="18"/>
  <c r="N29" i="8"/>
  <c r="P29" i="8" s="1"/>
  <c r="F66" i="18"/>
  <c r="F81" i="24"/>
  <c r="N82" i="24"/>
  <c r="O31" i="8"/>
  <c r="O32" i="8" s="1"/>
  <c r="BB12" i="7"/>
  <c r="BC12" i="7" s="1"/>
  <c r="N31" i="8"/>
  <c r="P31" i="8" s="1"/>
  <c r="BB15" i="7"/>
  <c r="BC15" i="7" s="1"/>
  <c r="H82" i="24"/>
  <c r="G82" i="24"/>
  <c r="E14" i="40"/>
  <c r="BH11" i="7"/>
  <c r="E13" i="40" s="1"/>
  <c r="BI10" i="7"/>
  <c r="E12" i="40" s="1"/>
  <c r="C82" i="16"/>
  <c r="O82" i="24"/>
  <c r="K82" i="24"/>
  <c r="C81" i="24"/>
  <c r="P82" i="24"/>
  <c r="D82" i="24"/>
  <c r="M82" i="24"/>
  <c r="Q82" i="24"/>
  <c r="F32" i="7"/>
  <c r="G32" i="7" s="1"/>
  <c r="D24" i="7"/>
  <c r="BB14" i="7"/>
  <c r="BC14" i="7" s="1"/>
  <c r="D14" i="40"/>
  <c r="I15" i="7"/>
  <c r="J15" i="7" s="1"/>
  <c r="I82" i="24"/>
  <c r="P9" i="7"/>
  <c r="F11" i="40" s="1"/>
  <c r="M20" i="8"/>
  <c r="G28" i="8"/>
  <c r="J20" i="8"/>
  <c r="G14" i="7"/>
  <c r="J82" i="24"/>
  <c r="R82" i="24"/>
  <c r="P8" i="7"/>
  <c r="F10" i="40" s="1"/>
  <c r="I17" i="7"/>
  <c r="J17" i="7" s="1"/>
  <c r="G17" i="7"/>
  <c r="P10" i="7"/>
  <c r="F12" i="40" s="1"/>
  <c r="E82" i="24"/>
  <c r="G32" i="8"/>
  <c r="P7" i="7"/>
  <c r="F9" i="40" s="1"/>
  <c r="I13" i="7"/>
  <c r="J13" i="7" s="1"/>
  <c r="G13" i="7"/>
  <c r="F29" i="7"/>
  <c r="G29" i="7" s="1"/>
  <c r="D21" i="7"/>
  <c r="F28" i="7"/>
  <c r="P6" i="7"/>
  <c r="F8" i="40" s="1"/>
  <c r="J28" i="8"/>
  <c r="O21" i="7"/>
  <c r="G20" i="8"/>
  <c r="D28" i="8"/>
  <c r="G16" i="7"/>
  <c r="I16" i="7"/>
  <c r="J16" i="7" s="1"/>
  <c r="I12" i="7"/>
  <c r="J12" i="7" s="1"/>
  <c r="G12" i="7"/>
  <c r="F30" i="7"/>
  <c r="G30" i="7" s="1"/>
  <c r="D23" i="7"/>
  <c r="M28" i="8"/>
  <c r="H7" i="8"/>
  <c r="G15" i="40" s="1"/>
  <c r="P14" i="8"/>
  <c r="E8" i="8"/>
  <c r="H8" i="8" s="1"/>
  <c r="F15" i="40" s="1"/>
  <c r="C82" i="14"/>
  <c r="P28" i="8"/>
  <c r="P20" i="8"/>
  <c r="L82" i="24"/>
  <c r="H11" i="8"/>
  <c r="E15" i="40" s="1"/>
  <c r="G11" i="8"/>
  <c r="O26" i="7"/>
  <c r="J26" i="7"/>
  <c r="I33" i="7"/>
  <c r="J33" i="7" s="1"/>
  <c r="J25" i="7"/>
  <c r="O25" i="7"/>
  <c r="O24" i="7"/>
  <c r="J24" i="7"/>
  <c r="J23" i="7"/>
  <c r="O23" i="7"/>
  <c r="BI6" i="7"/>
  <c r="E8" i="40" s="1"/>
  <c r="O22" i="7"/>
  <c r="J22" i="7"/>
  <c r="BI5" i="7"/>
  <c r="E7" i="40" s="1"/>
  <c r="P25" i="23"/>
  <c r="R29" i="23"/>
  <c r="I31" i="7" l="1"/>
  <c r="J31" i="7" s="1"/>
  <c r="I32" i="7"/>
  <c r="J32" i="7" s="1"/>
  <c r="E9" i="8"/>
  <c r="N32" i="8"/>
  <c r="O21" i="8"/>
  <c r="F82" i="18"/>
  <c r="C82" i="18" s="1"/>
  <c r="K21" i="8"/>
  <c r="I29" i="7"/>
  <c r="J29" i="7" s="1"/>
  <c r="P21" i="7"/>
  <c r="B7" i="40" s="1"/>
  <c r="C82" i="24"/>
  <c r="I30" i="7"/>
  <c r="J30" i="7" s="1"/>
  <c r="G28" i="7"/>
  <c r="I28" i="7"/>
  <c r="J28" i="7" s="1"/>
  <c r="E12" i="8"/>
  <c r="J2" i="8" s="1"/>
  <c r="F14" i="40"/>
  <c r="O11" i="7"/>
  <c r="F13" i="40" s="1"/>
  <c r="G8" i="8"/>
  <c r="P26" i="7"/>
  <c r="B12" i="40" s="1"/>
  <c r="P25" i="7"/>
  <c r="B11" i="40" s="1"/>
  <c r="P24" i="7"/>
  <c r="B10" i="40" s="1"/>
  <c r="P23" i="7"/>
  <c r="B9" i="40" s="1"/>
  <c r="P22" i="7"/>
  <c r="B8" i="40" s="1"/>
  <c r="J12" i="8"/>
  <c r="C14" i="40" l="1"/>
  <c r="G9" i="8"/>
  <c r="G12" i="8" s="1"/>
  <c r="AD11" i="7"/>
  <c r="C13" i="40" s="1"/>
  <c r="H9" i="8"/>
  <c r="C15" i="40" s="1"/>
  <c r="M21" i="8"/>
  <c r="N21" i="8"/>
  <c r="D16" i="8"/>
  <c r="H12" i="8"/>
  <c r="B14" i="40"/>
  <c r="B13" i="40"/>
  <c r="B15" i="40"/>
  <c r="P21" i="8" l="1"/>
</calcChain>
</file>

<file path=xl/sharedStrings.xml><?xml version="1.0" encoding="utf-8"?>
<sst xmlns="http://schemas.openxmlformats.org/spreadsheetml/2006/main" count="1373" uniqueCount="343">
  <si>
    <t>Goal</t>
  </si>
  <si>
    <t>Actual</t>
  </si>
  <si>
    <t>TOTAL</t>
  </si>
  <si>
    <t>YEAR 1</t>
  </si>
  <si>
    <t>YEAR 2</t>
  </si>
  <si>
    <t>YEAR 3</t>
  </si>
  <si>
    <t>YEAR 4</t>
  </si>
  <si>
    <t>Performance Measure</t>
  </si>
  <si>
    <t>Personnel</t>
  </si>
  <si>
    <t>Fringe Benefits</t>
  </si>
  <si>
    <t>Travel</t>
  </si>
  <si>
    <t>Consumable Supplies</t>
  </si>
  <si>
    <t>Tuition/Training</t>
  </si>
  <si>
    <t>Supportive Services</t>
  </si>
  <si>
    <t>Other Expenses</t>
  </si>
  <si>
    <t>Category</t>
  </si>
  <si>
    <t>Budgeted Grant Amount for Program</t>
  </si>
  <si>
    <t>Indirect Costs</t>
  </si>
  <si>
    <t>Data Collection and Reporting</t>
  </si>
  <si>
    <t>Outside Services</t>
  </si>
  <si>
    <t>Space &amp; Communication</t>
  </si>
  <si>
    <t>Equipment maintenance/purchases</t>
  </si>
  <si>
    <t>Administration (8%)</t>
  </si>
  <si>
    <t xml:space="preserve">Subrecipient: </t>
  </si>
  <si>
    <t>Performance Measures</t>
  </si>
  <si>
    <t>%</t>
  </si>
  <si>
    <t>Expenditures</t>
  </si>
  <si>
    <t>Jul-Sep
2021</t>
  </si>
  <si>
    <t>Oct-Dec
2021</t>
  </si>
  <si>
    <t>% of avg</t>
  </si>
  <si>
    <t>Static Numbers</t>
  </si>
  <si>
    <t>Expenditures reported</t>
  </si>
  <si>
    <t>Feb-Jun
2021</t>
  </si>
  <si>
    <t>Leveraged Funds</t>
  </si>
  <si>
    <t>Budgeted Leveraged Funds</t>
  </si>
  <si>
    <t xml:space="preserve">Grand Total </t>
  </si>
  <si>
    <t>N/A</t>
  </si>
  <si>
    <t>-</t>
  </si>
  <si>
    <t>1.  Gender</t>
  </si>
  <si>
    <t>a.  Male</t>
  </si>
  <si>
    <t>b.  Female</t>
  </si>
  <si>
    <t>c.  Did not Self-Identify</t>
  </si>
  <si>
    <t>2.  Age</t>
  </si>
  <si>
    <t>a.  16-24</t>
  </si>
  <si>
    <t>b.  25-54</t>
  </si>
  <si>
    <t>c.  55+</t>
  </si>
  <si>
    <t>d.  Did not Self-Identify</t>
  </si>
  <si>
    <t>3.  Disability Status</t>
  </si>
  <si>
    <t>a.  Yes</t>
  </si>
  <si>
    <t>b.  No</t>
  </si>
  <si>
    <t>4.  Veteran Status</t>
  </si>
  <si>
    <t>5.  Economically Disadvantaged</t>
  </si>
  <si>
    <t>1.  Hispanic</t>
  </si>
  <si>
    <t>1.  Black/African American</t>
  </si>
  <si>
    <t>2.  Asian</t>
  </si>
  <si>
    <t>3.  American Indian/Alaska native</t>
  </si>
  <si>
    <t>4.  Native Hawaiian/Other Pacific Islander</t>
  </si>
  <si>
    <t>5.  White</t>
  </si>
  <si>
    <t>6.  Did not Self-Identify</t>
  </si>
  <si>
    <t>1.  Registered Apprenticeship</t>
  </si>
  <si>
    <t>2.  On the Job Training (OJT)</t>
  </si>
  <si>
    <t>3.  Supportive Services</t>
  </si>
  <si>
    <t>4.  Other (Describe in Section IV)</t>
  </si>
  <si>
    <t>1.  Workforce Innovation and Opportunity Act (WIOA)</t>
  </si>
  <si>
    <t>2.  Going PRO Talent Fund</t>
  </si>
  <si>
    <t>3.  Other (Describe in Section IV)</t>
  </si>
  <si>
    <t>2021 TOTAL</t>
  </si>
  <si>
    <t>Jan-Mar</t>
  </si>
  <si>
    <t>Apr-Jun</t>
  </si>
  <si>
    <t>Jul-Sep</t>
  </si>
  <si>
    <t>Oct-Dec</t>
  </si>
  <si>
    <t>2022 Total</t>
  </si>
  <si>
    <t>% total expended</t>
  </si>
  <si>
    <t>Grant Budget</t>
  </si>
  <si>
    <t>Total Expended</t>
  </si>
  <si>
    <t>`</t>
  </si>
  <si>
    <t>Q1</t>
  </si>
  <si>
    <t>Q2</t>
  </si>
  <si>
    <t>Q3</t>
  </si>
  <si>
    <t>Q4</t>
  </si>
  <si>
    <t>Compiled from Quarterly Reports</t>
  </si>
  <si>
    <t>YEAR:</t>
  </si>
  <si>
    <t>CUMUL</t>
  </si>
  <si>
    <t>Quarter:</t>
  </si>
  <si>
    <t>KEY PERFORMANCE METRICS:</t>
  </si>
  <si>
    <t>FINANCIAL</t>
  </si>
  <si>
    <t>DEMOGRAPHICS</t>
  </si>
  <si>
    <t>SUMS</t>
  </si>
  <si>
    <t>blank</t>
  </si>
  <si>
    <t>Leveraged Expenditures</t>
  </si>
  <si>
    <t>2021 - Actual</t>
  </si>
  <si>
    <t>2022 - Actual</t>
  </si>
  <si>
    <t>TOTAL:</t>
  </si>
  <si>
    <t>SUBGRANTEE TOTAL:</t>
  </si>
  <si>
    <t>PROGRAM TOTAL:</t>
  </si>
  <si>
    <t>State of Michigan</t>
  </si>
  <si>
    <t>Total</t>
  </si>
  <si>
    <t>Date</t>
  </si>
  <si>
    <t>Document Number</t>
  </si>
  <si>
    <t>Payment Amount</t>
  </si>
  <si>
    <t>Project Name</t>
  </si>
  <si>
    <t>Grant</t>
  </si>
  <si>
    <t>Recipient</t>
  </si>
  <si>
    <t>Draw Detail Plus</t>
  </si>
  <si>
    <t>UNSPENT DRAW</t>
  </si>
  <si>
    <t>EXP TO DATE</t>
  </si>
  <si>
    <t>Processed</t>
  </si>
  <si>
    <t>01/01/2022-03/31/2022</t>
  </si>
  <si>
    <t>Select</t>
  </si>
  <si>
    <t>10/01/2021-12/31/2021</t>
  </si>
  <si>
    <t>Cumulative Expenditures for Selected Reporting Period</t>
  </si>
  <si>
    <t>Current Cumulative Unspent Balance</t>
  </si>
  <si>
    <t>Net Budget</t>
  </si>
  <si>
    <t>Transfers</t>
  </si>
  <si>
    <t>Award</t>
  </si>
  <si>
    <t>Other Federal Funds Expended</t>
  </si>
  <si>
    <t>Incumbent Worker Match</t>
  </si>
  <si>
    <t>Non-Federal Funds Expended</t>
  </si>
  <si>
    <t>Program Income Balance</t>
  </si>
  <si>
    <t>Program Income Expended</t>
  </si>
  <si>
    <t>Program Income Earned</t>
  </si>
  <si>
    <t>Report Total</t>
  </si>
  <si>
    <t>Other Contractual</t>
  </si>
  <si>
    <t>Program</t>
  </si>
  <si>
    <t>Educational Training Prgms</t>
  </si>
  <si>
    <t>Administration</t>
  </si>
  <si>
    <t>Date Certified</t>
  </si>
  <si>
    <t>Certified By</t>
  </si>
  <si>
    <t>Status</t>
  </si>
  <si>
    <t>Version</t>
  </si>
  <si>
    <t>Reporting Period</t>
  </si>
  <si>
    <t>USERNAME</t>
  </si>
  <si>
    <t>REG_DATE</t>
  </si>
  <si>
    <t>NAME</t>
  </si>
  <si>
    <t>BEGIN_DATE</t>
  </si>
  <si>
    <t>END_DATE</t>
  </si>
  <si>
    <t>CREDENTIAL_RECEIVED_CD</t>
  </si>
  <si>
    <t>ONET_CODE</t>
  </si>
  <si>
    <t>Training</t>
  </si>
  <si>
    <t>CR_OCC_CERT</t>
  </si>
  <si>
    <t>31-1131.00</t>
  </si>
  <si>
    <t>31-9097.00</t>
  </si>
  <si>
    <t>Nursing Assistant</t>
  </si>
  <si>
    <t>ONET CODE LOOKUP:</t>
  </si>
  <si>
    <t>Occupation Keyword Search (onetonline.org)</t>
  </si>
  <si>
    <t>Phlebotamist</t>
  </si>
  <si>
    <t>31-1014.00</t>
  </si>
  <si>
    <t>Nursing Assistant (outdated ONET code)</t>
  </si>
  <si>
    <t>31-1121.00</t>
  </si>
  <si>
    <t>Home Health Aide</t>
  </si>
  <si>
    <t>31-9092.00</t>
  </si>
  <si>
    <t>Medical Assistant</t>
  </si>
  <si>
    <t>29-1141.00</t>
  </si>
  <si>
    <t>Registered Nurse</t>
  </si>
  <si>
    <t>31-2021.00</t>
  </si>
  <si>
    <t>Physical Therapist Assistant</t>
  </si>
  <si>
    <t>29-2012.00</t>
  </si>
  <si>
    <t>Medical and Clinical Laboratory Technician</t>
  </si>
  <si>
    <t>29-2061.00</t>
  </si>
  <si>
    <t>Licensed Practical and Licensed Vocational Nurses</t>
  </si>
  <si>
    <t>CR_NONE</t>
  </si>
  <si>
    <t>31-9011.00</t>
  </si>
  <si>
    <t>Massage Therapist</t>
  </si>
  <si>
    <t>29-2043.00</t>
  </si>
  <si>
    <t>Paramedic</t>
  </si>
  <si>
    <t>25-1071.00</t>
  </si>
  <si>
    <t>Health Specialties Teacher, Postsecondary</t>
  </si>
  <si>
    <t>Other</t>
  </si>
  <si>
    <t>Entered by:</t>
  </si>
  <si>
    <t>DRW</t>
  </si>
  <si>
    <t>Draw Difference</t>
  </si>
  <si>
    <t>Unspent Balance</t>
  </si>
  <si>
    <t>Expended</t>
  </si>
  <si>
    <t>Balance Approved - Cumulative</t>
  </si>
  <si>
    <t>Cumulative Draws</t>
  </si>
  <si>
    <t>Project End Date</t>
  </si>
  <si>
    <t>Exp/Draw Dif</t>
  </si>
  <si>
    <t>Quarterly Report Data</t>
  </si>
  <si>
    <t>Graph Data</t>
  </si>
  <si>
    <t>04/01/2022-06/30/2022</t>
  </si>
  <si>
    <t>BUDGET</t>
  </si>
  <si>
    <t>MARS Data</t>
  </si>
  <si>
    <t>Linear Expected</t>
  </si>
  <si>
    <t>Remaining</t>
  </si>
  <si>
    <t>Linear/Expected</t>
  </si>
  <si>
    <t>21-1021.00</t>
  </si>
  <si>
    <t>29-2099.00</t>
  </si>
  <si>
    <t>CR_AS_DEG</t>
  </si>
  <si>
    <t>29-2055.00</t>
  </si>
  <si>
    <t>29-1051.00</t>
  </si>
  <si>
    <t>29-2031.00</t>
  </si>
  <si>
    <t>29-2011.00</t>
  </si>
  <si>
    <t>Child, Family, and School Social Worker</t>
  </si>
  <si>
    <t>Health Technologists and Technicians, all other</t>
  </si>
  <si>
    <t>Surgical Technologist</t>
  </si>
  <si>
    <t>Pharmacist</t>
  </si>
  <si>
    <t>Cardiovascular Technologist or Technician</t>
  </si>
  <si>
    <t>Users:</t>
  </si>
  <si>
    <t>#</t>
  </si>
  <si>
    <t>Nursing Assistants</t>
  </si>
  <si>
    <t>JOB TITLE</t>
  </si>
  <si>
    <t>Total count of profession:</t>
  </si>
  <si>
    <t>Error</t>
  </si>
  <si>
    <t>Check</t>
  </si>
  <si>
    <t>29-2035.00</t>
  </si>
  <si>
    <t>CR_BS_DEG</t>
  </si>
  <si>
    <t>Magnetic Resonance Imaging Technologists</t>
  </si>
  <si>
    <t>Feb-Jun 21</t>
  </si>
  <si>
    <t>Jul-Sep 21</t>
  </si>
  <si>
    <t>Oct-Dec 21</t>
  </si>
  <si>
    <t>Jan-Mar 22</t>
  </si>
  <si>
    <t>Apr-Jun 22</t>
  </si>
  <si>
    <t>Jul-Sep 22</t>
  </si>
  <si>
    <t>Oct-Dec 22</t>
  </si>
  <si>
    <t>Jan-Mar 23</t>
  </si>
  <si>
    <t>Apr-Jun 23</t>
  </si>
  <si>
    <t>Jul-Sep 23</t>
  </si>
  <si>
    <t>Oct-Dec 23</t>
  </si>
  <si>
    <t>Jan-Mar 24</t>
  </si>
  <si>
    <t>Apr-Jun 24</t>
  </si>
  <si>
    <t>Jul-Sep 24</t>
  </si>
  <si>
    <t>Oct-Dec 24</t>
  </si>
  <si>
    <t>Cumulative</t>
  </si>
  <si>
    <t>07/01/2022-09/30/2022</t>
  </si>
  <si>
    <t>10/01/2022-12/31/2022</t>
  </si>
  <si>
    <t>Grantee</t>
  </si>
  <si>
    <t>Lev (actual)</t>
  </si>
  <si>
    <t>Lev (budget)</t>
  </si>
  <si>
    <t>the sum in original QPR is off by $1 (listed as 24517(</t>
  </si>
  <si>
    <t>Cumulative Goal to Actual</t>
  </si>
  <si>
    <t>These cells add goal and actual over time, to track progress</t>
  </si>
  <si>
    <t>Since Year 1 and Total will be the same as above,</t>
  </si>
  <si>
    <t>they are not shown.</t>
  </si>
  <si>
    <t>6/31/21</t>
  </si>
  <si>
    <t>MARS DRAW PLUS</t>
  </si>
  <si>
    <t>Date Range</t>
  </si>
  <si>
    <t>01/01/2023-03/31/2023</t>
  </si>
  <si>
    <t>Expenditures, Draws, and Balance Report (Generated: 6/7/2023 9:23:28 AM)</t>
  </si>
  <si>
    <t>MiREACH</t>
  </si>
  <si>
    <t>29-2034.00</t>
  </si>
  <si>
    <t>Radiologic Technologists and Technicians</t>
  </si>
  <si>
    <t>Last updated 6/20/23</t>
  </si>
  <si>
    <t>Draw Payment Detail Plus (Generated: 7/5/2023 8:13:13 AM)</t>
  </si>
  <si>
    <t>Expenditure Report Summary (Generated: 7/5/2023 8:38:16 AM)</t>
  </si>
  <si>
    <t xml:space="preserve">Total participants served 
</t>
  </si>
  <si>
    <t xml:space="preserve">Total enrolled in education/training
</t>
  </si>
  <si>
    <t xml:space="preserve">Total who complete education/training
</t>
  </si>
  <si>
    <t xml:space="preserve">Total who complete education/training and receive a credential. 
</t>
  </si>
  <si>
    <t>Medical and Clinical Laboratory Technologist</t>
  </si>
  <si>
    <t>Grant Total</t>
  </si>
  <si>
    <t>Indirect Charges</t>
  </si>
  <si>
    <t>Total Direct Charges</t>
  </si>
  <si>
    <t>Construction</t>
  </si>
  <si>
    <t>Contractual</t>
  </si>
  <si>
    <t>Supplies</t>
  </si>
  <si>
    <t>Equipment</t>
  </si>
  <si>
    <t>Remaining Balance</t>
  </si>
  <si>
    <t>Budget Cost Categories</t>
  </si>
  <si>
    <t>Cost per participant:</t>
  </si>
  <si>
    <t>Total spending divided by participants</t>
  </si>
  <si>
    <t>Total spending divided by completers</t>
  </si>
  <si>
    <t>Percent of budget expended</t>
  </si>
  <si>
    <t>Partner 3</t>
  </si>
  <si>
    <t>Partner 2</t>
  </si>
  <si>
    <t>Partner 1</t>
  </si>
  <si>
    <t>Partner 4</t>
  </si>
  <si>
    <t>Partner 4 Data</t>
  </si>
  <si>
    <t>Partner 3 Data</t>
  </si>
  <si>
    <t>Partner 2 Data</t>
  </si>
  <si>
    <t>Partner 1 Data</t>
  </si>
  <si>
    <t>State of Michigan Spending</t>
  </si>
  <si>
    <t>Partners</t>
  </si>
  <si>
    <t xml:space="preserve">Metric 3
</t>
  </si>
  <si>
    <t xml:space="preserve">Metric 4
</t>
  </si>
  <si>
    <t>Metric 5</t>
  </si>
  <si>
    <t xml:space="preserve">Metric 6
</t>
  </si>
  <si>
    <t xml:space="preserve">Metric 1
</t>
  </si>
  <si>
    <t xml:space="preserve">Metric 2
</t>
  </si>
  <si>
    <t>Metric 1</t>
  </si>
  <si>
    <t>Metric 2</t>
  </si>
  <si>
    <t>Metric 3</t>
  </si>
  <si>
    <t>Metric 4</t>
  </si>
  <si>
    <t>Metric 6</t>
  </si>
  <si>
    <t>KEY (COUNTIF FUNCTION)</t>
  </si>
  <si>
    <t>Participant Training Data from SQL / APEX Query of OSMIS:</t>
  </si>
  <si>
    <t>Total Partner expended</t>
  </si>
  <si>
    <t>Expected spending to date</t>
  </si>
  <si>
    <t>Average Quarterly Expenditure</t>
  </si>
  <si>
    <t>Program Total</t>
  </si>
  <si>
    <t>Total Program</t>
  </si>
  <si>
    <t>SUM</t>
  </si>
  <si>
    <t>SUMIF</t>
  </si>
  <si>
    <t>Partner 1:</t>
  </si>
  <si>
    <t>Partner 2:</t>
  </si>
  <si>
    <t>COUNTIF</t>
  </si>
  <si>
    <t>Data 1</t>
  </si>
  <si>
    <t>Data 2</t>
  </si>
  <si>
    <t>Data 3</t>
  </si>
  <si>
    <t>Data 4</t>
  </si>
  <si>
    <t>Common Formula Examples (click on each cell to see what it's doing)</t>
  </si>
  <si>
    <t>Kevin Stratvert</t>
  </si>
  <si>
    <t>Leila Gharani</t>
  </si>
  <si>
    <t>YouTube Channels for learning Excel:</t>
  </si>
  <si>
    <t>Transporting Cell information</t>
  </si>
  <si>
    <t>Original</t>
  </si>
  <si>
    <t>SUMIFS</t>
  </si>
  <si>
    <t>Nurse</t>
  </si>
  <si>
    <t>Totals</t>
  </si>
  <si>
    <t>by</t>
  </si>
  <si>
    <t>Year</t>
  </si>
  <si>
    <t>All Partners (cumulative)</t>
  </si>
  <si>
    <t>Partner</t>
  </si>
  <si>
    <t xml:space="preserve">Incumbent workers who complete training and advance into new position. 
</t>
  </si>
  <si>
    <t>Unemployed/underemployed complete training, obtain employment.</t>
  </si>
  <si>
    <t>METRIC</t>
  </si>
  <si>
    <t>AEXY</t>
  </si>
  <si>
    <t>DEFE</t>
  </si>
  <si>
    <t>DFEF</t>
  </si>
  <si>
    <t>DDEE</t>
  </si>
  <si>
    <t>FFEE</t>
  </si>
  <si>
    <t>wlef</t>
  </si>
  <si>
    <t>fje</t>
  </si>
  <si>
    <t>dfewf</t>
  </si>
  <si>
    <t>fdlsfjeslkfj</t>
  </si>
  <si>
    <t>jlkjlme</t>
  </si>
  <si>
    <t>lsjdfsifdj</t>
  </si>
  <si>
    <t>sldfjsliejfm</t>
  </si>
  <si>
    <t>ssseeff</t>
  </si>
  <si>
    <t>ookdiekff</t>
  </si>
  <si>
    <t>kfifmekd</t>
  </si>
  <si>
    <t>dkifiejk</t>
  </si>
  <si>
    <t>dnekfed</t>
  </si>
  <si>
    <t>dlkjfoeid</t>
  </si>
  <si>
    <t>dlffeoid</t>
  </si>
  <si>
    <t>sldfsoeifsd</t>
  </si>
  <si>
    <t>kjef</t>
  </si>
  <si>
    <t>feej</t>
  </si>
  <si>
    <t>eefje</t>
  </si>
  <si>
    <t>uroep</t>
  </si>
  <si>
    <t>fkmeod</t>
  </si>
  <si>
    <t>eeokjfeok</t>
  </si>
  <si>
    <t>feo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</si>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</sst>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[$$-45C]#,##0.00"/>
    <numFmt numFmtId="167" formatCode="m/d/yy;@"/>
    <numFmt numFmtId="168" formatCode="_(* #,##0_);_(* \(#,##0\);_(* &quot;-&quot;??_);_(@_)"/>
    <numFmt numFmtId="169" formatCode="_(&quot;$&quot;* #,##0_);_(&quot;$&quot;* \(#,##0\);_(&quot;$&quot;* &quot;-&quot;??_);_(@_)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6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0" tint="-4.9989318521683403E-2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 tint="-4.9989318521683403E-2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0"/>
      <name val="Arial"/>
      <family val="2"/>
    </font>
    <font>
      <sz val="36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scheme val="minor"/>
    </font>
    <font>
      <b/>
      <sz val="26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0"/>
      <color theme="5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"/>
      <color theme="7" tint="0.7999816888943144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22"/>
      <color theme="1"/>
      <name val="Calibri"/>
      <family val="2"/>
      <scheme val="minor"/>
    </font>
    <font>
      <b/>
      <sz val="48"/>
      <color theme="0"/>
      <name val="Arial Black"/>
      <family val="2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FAD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BA50B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gray125">
        <bgColor theme="8" tint="0.79995117038483843"/>
      </patternFill>
    </fill>
    <fill>
      <patternFill patternType="gray125">
        <bgColor theme="0" tint="-4.9989318521683403E-2"/>
      </patternFill>
    </fill>
    <fill>
      <patternFill patternType="gray125">
        <bgColor theme="0"/>
      </patternFill>
    </fill>
    <fill>
      <patternFill patternType="gray125">
        <b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49992370372631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6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</borders>
  <cellStyleXfs count="46">
    <xf numFmtId="0" fontId="0" fillId="0" borderId="0"/>
    <xf numFmtId="0" fontId="32" fillId="0" borderId="0"/>
    <xf numFmtId="0" fontId="37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62" applyNumberFormat="0" applyFill="0" applyAlignment="0" applyProtection="0"/>
    <xf numFmtId="0" fontId="49" fillId="0" borderId="63" applyNumberFormat="0" applyFill="0" applyAlignment="0" applyProtection="0"/>
    <xf numFmtId="0" fontId="50" fillId="0" borderId="64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65" applyNumberFormat="0" applyAlignment="0" applyProtection="0"/>
    <xf numFmtId="0" fontId="52" fillId="43" borderId="66" applyNumberFormat="0" applyAlignment="0" applyProtection="0"/>
    <xf numFmtId="0" fontId="53" fillId="43" borderId="65" applyNumberFormat="0" applyAlignment="0" applyProtection="0"/>
    <xf numFmtId="0" fontId="54" fillId="0" borderId="67" applyNumberFormat="0" applyFill="0" applyAlignment="0" applyProtection="0"/>
    <xf numFmtId="0" fontId="28" fillId="44" borderId="68" applyNumberFormat="0" applyAlignment="0" applyProtection="0"/>
    <xf numFmtId="0" fontId="55" fillId="0" borderId="0" applyNumberFormat="0" applyFill="0" applyBorder="0" applyAlignment="0" applyProtection="0"/>
    <xf numFmtId="0" fontId="44" fillId="45" borderId="69" applyNumberFormat="0" applyFont="0" applyAlignment="0" applyProtection="0"/>
    <xf numFmtId="0" fontId="56" fillId="0" borderId="0" applyNumberFormat="0" applyFill="0" applyBorder="0" applyAlignment="0" applyProtection="0"/>
    <xf numFmtId="0" fontId="1" fillId="0" borderId="70" applyNumberFormat="0" applyFill="0" applyAlignment="0" applyProtection="0"/>
    <xf numFmtId="0" fontId="2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2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2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2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60" borderId="0" applyNumberFormat="0" applyBorder="0" applyAlignment="0" applyProtection="0"/>
    <xf numFmtId="0" fontId="44" fillId="61" borderId="0" applyNumberFormat="0" applyBorder="0" applyAlignment="0" applyProtection="0"/>
    <xf numFmtId="0" fontId="2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5" borderId="0" applyNumberFormat="0" applyBorder="0" applyAlignment="0" applyProtection="0"/>
    <xf numFmtId="0" fontId="2" fillId="66" borderId="0" applyNumberFormat="0" applyBorder="0" applyAlignment="0" applyProtection="0"/>
    <xf numFmtId="0" fontId="44" fillId="67" borderId="0" applyNumberFormat="0" applyBorder="0" applyAlignment="0" applyProtection="0"/>
    <xf numFmtId="0" fontId="44" fillId="68" borderId="0" applyNumberFormat="0" applyBorder="0" applyAlignment="0" applyProtection="0"/>
    <xf numFmtId="0" fontId="44" fillId="69" borderId="0" applyNumberFormat="0" applyBorder="0" applyAlignment="0" applyProtection="0"/>
    <xf numFmtId="43" fontId="44" fillId="0" borderId="0" applyFont="0" applyFill="0" applyBorder="0" applyAlignment="0" applyProtection="0"/>
    <xf numFmtId="0" fontId="19" fillId="0" borderId="0"/>
  </cellStyleXfs>
  <cellXfs count="66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right" vertical="center"/>
    </xf>
    <xf numFmtId="165" fontId="0" fillId="0" borderId="0" xfId="0" applyNumberFormat="1"/>
    <xf numFmtId="164" fontId="0" fillId="0" borderId="0" xfId="0" applyNumberFormat="1"/>
    <xf numFmtId="0" fontId="13" fillId="4" borderId="0" xfId="0" applyFont="1" applyFill="1" applyAlignment="1">
      <alignment horizontal="center" vertical="center"/>
    </xf>
    <xf numFmtId="9" fontId="13" fillId="4" borderId="12" xfId="0" applyNumberFormat="1" applyFont="1" applyFill="1" applyBorder="1" applyAlignment="1">
      <alignment horizontal="center" vertical="center"/>
    </xf>
    <xf numFmtId="9" fontId="13" fillId="4" borderId="14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right"/>
    </xf>
    <xf numFmtId="0" fontId="4" fillId="2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right" vertical="top" wrapText="1"/>
    </xf>
    <xf numFmtId="0" fontId="6" fillId="4" borderId="1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9" fontId="15" fillId="4" borderId="12" xfId="0" applyNumberFormat="1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9" fontId="15" fillId="4" borderId="14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10" fillId="3" borderId="44" xfId="0" applyFont="1" applyFill="1" applyBorder="1" applyAlignment="1">
      <alignment horizontal="center" vertical="center" wrapText="1"/>
    </xf>
    <xf numFmtId="9" fontId="10" fillId="4" borderId="12" xfId="0" applyNumberFormat="1" applyFont="1" applyFill="1" applyBorder="1" applyAlignment="1">
      <alignment horizontal="center" vertical="center"/>
    </xf>
    <xf numFmtId="9" fontId="10" fillId="4" borderId="14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9" fontId="14" fillId="4" borderId="12" xfId="0" applyNumberFormat="1" applyFont="1" applyFill="1" applyBorder="1" applyAlignment="1">
      <alignment horizontal="center" vertical="center"/>
    </xf>
    <xf numFmtId="9" fontId="14" fillId="4" borderId="14" xfId="0" applyNumberFormat="1" applyFont="1" applyFill="1" applyBorder="1" applyAlignment="1">
      <alignment horizontal="center" vertical="center"/>
    </xf>
    <xf numFmtId="9" fontId="6" fillId="4" borderId="12" xfId="0" applyNumberFormat="1" applyFont="1" applyFill="1" applyBorder="1" applyAlignment="1">
      <alignment horizontal="center" vertical="center"/>
    </xf>
    <xf numFmtId="9" fontId="6" fillId="4" borderId="14" xfId="0" applyNumberFormat="1" applyFont="1" applyFill="1" applyBorder="1" applyAlignment="1">
      <alignment horizontal="center" vertical="center"/>
    </xf>
    <xf numFmtId="0" fontId="19" fillId="3" borderId="39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right"/>
    </xf>
    <xf numFmtId="0" fontId="19" fillId="15" borderId="39" xfId="0" applyFont="1" applyFill="1" applyBorder="1" applyAlignment="1">
      <alignment horizontal="left"/>
    </xf>
    <xf numFmtId="0" fontId="19" fillId="11" borderId="39" xfId="0" applyFont="1" applyFill="1" applyBorder="1" applyAlignment="1">
      <alignment horizontal="left"/>
    </xf>
    <xf numFmtId="0" fontId="19" fillId="16" borderId="40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left"/>
    </xf>
    <xf numFmtId="0" fontId="19" fillId="5" borderId="38" xfId="0" applyFont="1" applyFill="1" applyBorder="1" applyAlignment="1">
      <alignment horizontal="left"/>
    </xf>
    <xf numFmtId="0" fontId="19" fillId="11" borderId="40" xfId="0" applyFont="1" applyFill="1" applyBorder="1" applyAlignment="1">
      <alignment horizontal="left"/>
    </xf>
    <xf numFmtId="0" fontId="0" fillId="9" borderId="3" xfId="0" applyFill="1" applyBorder="1"/>
    <xf numFmtId="0" fontId="0" fillId="9" borderId="4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3" xfId="0" applyFill="1" applyBorder="1"/>
    <xf numFmtId="0" fontId="0" fillId="14" borderId="4" xfId="0" applyFill="1" applyBorder="1"/>
    <xf numFmtId="0" fontId="22" fillId="6" borderId="2" xfId="0" applyFont="1" applyFill="1" applyBorder="1" applyAlignment="1">
      <alignment horizontal="right"/>
    </xf>
    <xf numFmtId="0" fontId="23" fillId="9" borderId="2" xfId="0" applyFont="1" applyFill="1" applyBorder="1" applyAlignment="1">
      <alignment horizontal="right"/>
    </xf>
    <xf numFmtId="0" fontId="24" fillId="13" borderId="2" xfId="0" applyFont="1" applyFill="1" applyBorder="1" applyAlignment="1">
      <alignment horizontal="right"/>
    </xf>
    <xf numFmtId="0" fontId="24" fillId="14" borderId="2" xfId="0" applyFont="1" applyFill="1" applyBorder="1" applyAlignment="1">
      <alignment horizontal="right"/>
    </xf>
    <xf numFmtId="0" fontId="7" fillId="19" borderId="13" xfId="0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/>
    </xf>
    <xf numFmtId="0" fontId="26" fillId="18" borderId="8" xfId="0" applyFont="1" applyFill="1" applyBorder="1"/>
    <xf numFmtId="0" fontId="19" fillId="18" borderId="13" xfId="0" applyFont="1" applyFill="1" applyBorder="1" applyAlignment="1">
      <alignment horizontal="left" indent="2"/>
    </xf>
    <xf numFmtId="0" fontId="19" fillId="18" borderId="7" xfId="0" applyFont="1" applyFill="1" applyBorder="1" applyAlignment="1">
      <alignment horizontal="left" indent="1"/>
    </xf>
    <xf numFmtId="0" fontId="19" fillId="18" borderId="17" xfId="0" applyFont="1" applyFill="1" applyBorder="1" applyAlignment="1">
      <alignment horizontal="left" indent="2"/>
    </xf>
    <xf numFmtId="0" fontId="19" fillId="18" borderId="37" xfId="0" applyFont="1" applyFill="1" applyBorder="1" applyAlignment="1">
      <alignment horizontal="left" indent="1"/>
    </xf>
    <xf numFmtId="0" fontId="19" fillId="18" borderId="9" xfId="0" applyFont="1" applyFill="1" applyBorder="1" applyAlignment="1">
      <alignment horizontal="left" indent="2"/>
    </xf>
    <xf numFmtId="0" fontId="19" fillId="18" borderId="15" xfId="0" applyFont="1" applyFill="1" applyBorder="1" applyAlignment="1">
      <alignment horizontal="left" indent="1"/>
    </xf>
    <xf numFmtId="0" fontId="19" fillId="18" borderId="7" xfId="0" applyFont="1" applyFill="1" applyBorder="1" applyAlignment="1">
      <alignment horizontal="left" indent="2"/>
    </xf>
    <xf numFmtId="0" fontId="19" fillId="18" borderId="17" xfId="0" applyFont="1" applyFill="1" applyBorder="1"/>
    <xf numFmtId="0" fontId="19" fillId="18" borderId="37" xfId="0" applyFont="1" applyFill="1" applyBorder="1"/>
    <xf numFmtId="0" fontId="19" fillId="18" borderId="15" xfId="0" applyFont="1" applyFill="1" applyBorder="1"/>
    <xf numFmtId="0" fontId="19" fillId="18" borderId="13" xfId="0" applyFont="1" applyFill="1" applyBorder="1"/>
    <xf numFmtId="0" fontId="19" fillId="18" borderId="0" xfId="0" applyFont="1" applyFill="1"/>
    <xf numFmtId="0" fontId="19" fillId="18" borderId="7" xfId="0" applyFont="1" applyFill="1" applyBorder="1"/>
    <xf numFmtId="0" fontId="19" fillId="18" borderId="11" xfId="0" applyFont="1" applyFill="1" applyBorder="1"/>
    <xf numFmtId="0" fontId="26" fillId="15" borderId="8" xfId="0" applyFont="1" applyFill="1" applyBorder="1"/>
    <xf numFmtId="0" fontId="26" fillId="18" borderId="41" xfId="0" applyFont="1" applyFill="1" applyBorder="1"/>
    <xf numFmtId="0" fontId="26" fillId="15" borderId="16" xfId="0" applyFont="1" applyFill="1" applyBorder="1"/>
    <xf numFmtId="0" fontId="26" fillId="15" borderId="41" xfId="0" applyFont="1" applyFill="1" applyBorder="1"/>
    <xf numFmtId="0" fontId="7" fillId="19" borderId="16" xfId="0" applyFont="1" applyFill="1" applyBorder="1" applyAlignment="1">
      <alignment vertical="center" wrapText="1"/>
    </xf>
    <xf numFmtId="0" fontId="26" fillId="19" borderId="16" xfId="0" applyFont="1" applyFill="1" applyBorder="1"/>
    <xf numFmtId="0" fontId="7" fillId="3" borderId="4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21" borderId="0" xfId="0" applyNumberFormat="1" applyFont="1" applyFill="1" applyAlignment="1">
      <alignment horizontal="center"/>
    </xf>
    <xf numFmtId="165" fontId="7" fillId="21" borderId="11" xfId="0" applyNumberFormat="1" applyFont="1" applyFill="1" applyBorder="1" applyAlignment="1">
      <alignment horizontal="center" vertical="center"/>
    </xf>
    <xf numFmtId="0" fontId="7" fillId="23" borderId="0" xfId="0" applyFont="1" applyFill="1"/>
    <xf numFmtId="0" fontId="7" fillId="23" borderId="5" xfId="0" applyFont="1" applyFill="1" applyBorder="1"/>
    <xf numFmtId="0" fontId="26" fillId="23" borderId="0" xfId="0" applyFont="1" applyFill="1"/>
    <xf numFmtId="0" fontId="7" fillId="23" borderId="46" xfId="0" applyFont="1" applyFill="1" applyBorder="1" applyAlignment="1">
      <alignment horizontal="center"/>
    </xf>
    <xf numFmtId="0" fontId="7" fillId="23" borderId="8" xfId="0" applyFont="1" applyFill="1" applyBorder="1"/>
    <xf numFmtId="0" fontId="26" fillId="23" borderId="8" xfId="0" applyFont="1" applyFill="1" applyBorder="1"/>
    <xf numFmtId="0" fontId="7" fillId="23" borderId="39" xfId="0" applyFont="1" applyFill="1" applyBorder="1"/>
    <xf numFmtId="0" fontId="27" fillId="23" borderId="38" xfId="0" applyFont="1" applyFill="1" applyBorder="1"/>
    <xf numFmtId="0" fontId="19" fillId="3" borderId="13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  <xf numFmtId="165" fontId="7" fillId="21" borderId="6" xfId="0" applyNumberFormat="1" applyFont="1" applyFill="1" applyBorder="1" applyAlignment="1">
      <alignment horizontal="center"/>
    </xf>
    <xf numFmtId="165" fontId="7" fillId="21" borderId="43" xfId="0" applyNumberFormat="1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/>
    </xf>
    <xf numFmtId="0" fontId="11" fillId="21" borderId="38" xfId="0" applyFont="1" applyFill="1" applyBorder="1" applyAlignment="1">
      <alignment vertical="center"/>
    </xf>
    <xf numFmtId="0" fontId="11" fillId="21" borderId="39" xfId="0" applyFont="1" applyFill="1" applyBorder="1" applyAlignment="1">
      <alignment vertical="center"/>
    </xf>
    <xf numFmtId="0" fontId="27" fillId="20" borderId="38" xfId="0" applyFont="1" applyFill="1" applyBorder="1"/>
    <xf numFmtId="0" fontId="27" fillId="20" borderId="39" xfId="0" applyFont="1" applyFill="1" applyBorder="1"/>
    <xf numFmtId="0" fontId="2" fillId="24" borderId="0" xfId="0" applyFont="1" applyFill="1" applyAlignment="1">
      <alignment horizontal="center"/>
    </xf>
    <xf numFmtId="40" fontId="33" fillId="28" borderId="50" xfId="1" applyNumberFormat="1" applyFont="1" applyFill="1" applyBorder="1" applyAlignment="1">
      <alignment horizontal="right"/>
    </xf>
    <xf numFmtId="0" fontId="7" fillId="23" borderId="6" xfId="0" applyFont="1" applyFill="1" applyBorder="1" applyAlignment="1">
      <alignment horizontal="center"/>
    </xf>
    <xf numFmtId="4" fontId="7" fillId="3" borderId="37" xfId="0" applyNumberFormat="1" applyFont="1" applyFill="1" applyBorder="1" applyAlignment="1">
      <alignment horizontal="center"/>
    </xf>
    <xf numFmtId="4" fontId="19" fillId="3" borderId="17" xfId="0" applyNumberFormat="1" applyFont="1" applyFill="1" applyBorder="1" applyAlignment="1">
      <alignment horizontal="right" vertical="center"/>
    </xf>
    <xf numFmtId="4" fontId="8" fillId="4" borderId="8" xfId="0" applyNumberFormat="1" applyFont="1" applyFill="1" applyBorder="1" applyAlignment="1">
      <alignment horizontal="right" vertical="center"/>
    </xf>
    <xf numFmtId="4" fontId="26" fillId="19" borderId="8" xfId="0" applyNumberFormat="1" applyFont="1" applyFill="1" applyBorder="1"/>
    <xf numFmtId="4" fontId="0" fillId="0" borderId="0" xfId="0" applyNumberFormat="1"/>
    <xf numFmtId="4" fontId="8" fillId="0" borderId="8" xfId="0" applyNumberFormat="1" applyFont="1" applyBorder="1" applyAlignment="1">
      <alignment horizontal="right" vertical="center"/>
    </xf>
    <xf numFmtId="4" fontId="19" fillId="3" borderId="9" xfId="0" applyNumberFormat="1" applyFont="1" applyFill="1" applyBorder="1" applyAlignment="1">
      <alignment horizontal="right" vertical="center"/>
    </xf>
    <xf numFmtId="4" fontId="8" fillId="4" borderId="41" xfId="0" applyNumberFormat="1" applyFont="1" applyFill="1" applyBorder="1" applyAlignment="1">
      <alignment horizontal="right" vertical="center"/>
    </xf>
    <xf numFmtId="4" fontId="26" fillId="19" borderId="41" xfId="0" applyNumberFormat="1" applyFont="1" applyFill="1" applyBorder="1"/>
    <xf numFmtId="4" fontId="7" fillId="21" borderId="39" xfId="0" applyNumberFormat="1" applyFont="1" applyFill="1" applyBorder="1" applyAlignment="1">
      <alignment horizontal="center"/>
    </xf>
    <xf numFmtId="4" fontId="7" fillId="21" borderId="42" xfId="0" applyNumberFormat="1" applyFont="1" applyFill="1" applyBorder="1" applyAlignment="1">
      <alignment horizontal="center" vertical="center"/>
    </xf>
    <xf numFmtId="4" fontId="7" fillId="3" borderId="7" xfId="0" applyNumberFormat="1" applyFont="1" applyFill="1" applyBorder="1" applyAlignment="1">
      <alignment horizontal="center"/>
    </xf>
    <xf numFmtId="4" fontId="19" fillId="3" borderId="13" xfId="0" applyNumberFormat="1" applyFont="1" applyFill="1" applyBorder="1" applyAlignment="1">
      <alignment horizontal="right" vertical="center"/>
    </xf>
    <xf numFmtId="4" fontId="26" fillId="19" borderId="16" xfId="0" applyNumberFormat="1" applyFont="1" applyFill="1" applyBorder="1"/>
    <xf numFmtId="4" fontId="19" fillId="3" borderId="8" xfId="0" applyNumberFormat="1" applyFont="1" applyFill="1" applyBorder="1" applyAlignment="1">
      <alignment horizontal="right" vertical="center"/>
    </xf>
    <xf numFmtId="4" fontId="7" fillId="21" borderId="37" xfId="0" applyNumberFormat="1" applyFont="1" applyFill="1" applyBorder="1" applyAlignment="1">
      <alignment horizontal="center"/>
    </xf>
    <xf numFmtId="4" fontId="7" fillId="21" borderId="17" xfId="0" applyNumberFormat="1" applyFont="1" applyFill="1" applyBorder="1" applyAlignment="1">
      <alignment horizontal="center" vertical="center"/>
    </xf>
    <xf numFmtId="4" fontId="29" fillId="19" borderId="17" xfId="0" applyNumberFormat="1" applyFont="1" applyFill="1" applyBorder="1" applyAlignment="1">
      <alignment horizontal="center" vertical="center"/>
    </xf>
    <xf numFmtId="4" fontId="7" fillId="3" borderId="15" xfId="0" applyNumberFormat="1" applyFont="1" applyFill="1" applyBorder="1" applyAlignment="1">
      <alignment horizontal="center"/>
    </xf>
    <xf numFmtId="4" fontId="8" fillId="0" borderId="41" xfId="0" applyNumberFormat="1" applyFont="1" applyBorder="1" applyAlignment="1">
      <alignment horizontal="right" vertical="center"/>
    </xf>
    <xf numFmtId="4" fontId="8" fillId="4" borderId="16" xfId="0" applyNumberFormat="1" applyFont="1" applyFill="1" applyBorder="1" applyAlignment="1">
      <alignment horizontal="right" vertical="center"/>
    </xf>
    <xf numFmtId="4" fontId="19" fillId="3" borderId="41" xfId="0" applyNumberFormat="1" applyFont="1" applyFill="1" applyBorder="1" applyAlignment="1">
      <alignment horizontal="right" vertical="center"/>
    </xf>
    <xf numFmtId="4" fontId="29" fillId="19" borderId="13" xfId="0" applyNumberFormat="1" applyFont="1" applyFill="1" applyBorder="1" applyAlignment="1">
      <alignment horizontal="center" vertical="center"/>
    </xf>
    <xf numFmtId="166" fontId="7" fillId="3" borderId="37" xfId="0" applyNumberFormat="1" applyFont="1" applyFill="1" applyBorder="1" applyAlignment="1">
      <alignment horizontal="center"/>
    </xf>
    <xf numFmtId="166" fontId="19" fillId="3" borderId="17" xfId="0" applyNumberFormat="1" applyFont="1" applyFill="1" applyBorder="1" applyAlignment="1">
      <alignment horizontal="right" vertical="center"/>
    </xf>
    <xf numFmtId="166" fontId="8" fillId="4" borderId="8" xfId="0" applyNumberFormat="1" applyFont="1" applyFill="1" applyBorder="1" applyAlignment="1">
      <alignment horizontal="right" vertical="center"/>
    </xf>
    <xf numFmtId="166" fontId="26" fillId="19" borderId="8" xfId="0" applyNumberFormat="1" applyFont="1" applyFill="1" applyBorder="1"/>
    <xf numFmtId="166" fontId="8" fillId="0" borderId="8" xfId="0" applyNumberFormat="1" applyFont="1" applyBorder="1" applyAlignment="1">
      <alignment horizontal="right" vertical="center"/>
    </xf>
    <xf numFmtId="166" fontId="19" fillId="3" borderId="9" xfId="0" applyNumberFormat="1" applyFont="1" applyFill="1" applyBorder="1" applyAlignment="1">
      <alignment horizontal="right" vertical="center"/>
    </xf>
    <xf numFmtId="166" fontId="26" fillId="19" borderId="41" xfId="0" applyNumberFormat="1" applyFont="1" applyFill="1" applyBorder="1"/>
    <xf numFmtId="166" fontId="7" fillId="21" borderId="39" xfId="0" applyNumberFormat="1" applyFont="1" applyFill="1" applyBorder="1" applyAlignment="1">
      <alignment horizontal="center"/>
    </xf>
    <xf numFmtId="166" fontId="7" fillId="21" borderId="42" xfId="0" applyNumberFormat="1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/>
    </xf>
    <xf numFmtId="166" fontId="19" fillId="3" borderId="13" xfId="0" applyNumberFormat="1" applyFont="1" applyFill="1" applyBorder="1" applyAlignment="1">
      <alignment horizontal="right" vertical="center"/>
    </xf>
    <xf numFmtId="166" fontId="26" fillId="19" borderId="16" xfId="0" applyNumberFormat="1" applyFont="1" applyFill="1" applyBorder="1"/>
    <xf numFmtId="166" fontId="19" fillId="3" borderId="8" xfId="0" applyNumberFormat="1" applyFont="1" applyFill="1" applyBorder="1" applyAlignment="1">
      <alignment horizontal="right" vertical="center"/>
    </xf>
    <xf numFmtId="166" fontId="7" fillId="21" borderId="37" xfId="0" applyNumberFormat="1" applyFont="1" applyFill="1" applyBorder="1" applyAlignment="1">
      <alignment horizontal="center"/>
    </xf>
    <xf numFmtId="166" fontId="7" fillId="21" borderId="17" xfId="0" applyNumberFormat="1" applyFont="1" applyFill="1" applyBorder="1" applyAlignment="1">
      <alignment horizontal="center" vertical="center"/>
    </xf>
    <xf numFmtId="166" fontId="29" fillId="19" borderId="17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/>
    <xf numFmtId="164" fontId="34" fillId="0" borderId="18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0" fillId="0" borderId="50" xfId="0" applyBorder="1" applyAlignment="1">
      <alignment wrapText="1"/>
    </xf>
    <xf numFmtId="8" fontId="0" fillId="0" borderId="0" xfId="0" applyNumberFormat="1"/>
    <xf numFmtId="0" fontId="11" fillId="36" borderId="6" xfId="0" applyFont="1" applyFill="1" applyBorder="1" applyAlignment="1">
      <alignment horizontal="center" vertical="center" wrapText="1"/>
    </xf>
    <xf numFmtId="164" fontId="0" fillId="36" borderId="0" xfId="0" applyNumberFormat="1" applyFill="1" applyAlignment="1">
      <alignment horizontal="center"/>
    </xf>
    <xf numFmtId="164" fontId="0" fillId="36" borderId="6" xfId="0" applyNumberFormat="1" applyFill="1" applyBorder="1" applyAlignment="1">
      <alignment horizontal="center"/>
    </xf>
    <xf numFmtId="0" fontId="0" fillId="0" borderId="1" xfId="0" applyBorder="1"/>
    <xf numFmtId="0" fontId="41" fillId="0" borderId="0" xfId="5"/>
    <xf numFmtId="0" fontId="1" fillId="33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7" fillId="19" borderId="16" xfId="0" applyFont="1" applyFill="1" applyBorder="1" applyAlignment="1">
      <alignment horizontal="center" vertical="center" wrapText="1"/>
    </xf>
    <xf numFmtId="0" fontId="26" fillId="23" borderId="8" xfId="0" applyFont="1" applyFill="1" applyBorder="1" applyAlignment="1">
      <alignment horizontal="center"/>
    </xf>
    <xf numFmtId="0" fontId="26" fillId="3" borderId="16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/>
    </xf>
    <xf numFmtId="0" fontId="26" fillId="3" borderId="41" xfId="0" applyFont="1" applyFill="1" applyBorder="1" applyAlignment="1">
      <alignment horizontal="center"/>
    </xf>
    <xf numFmtId="4" fontId="26" fillId="3" borderId="16" xfId="0" applyNumberFormat="1" applyFont="1" applyFill="1" applyBorder="1"/>
    <xf numFmtId="4" fontId="26" fillId="3" borderId="8" xfId="0" applyNumberFormat="1" applyFont="1" applyFill="1" applyBorder="1"/>
    <xf numFmtId="4" fontId="26" fillId="3" borderId="41" xfId="0" applyNumberFormat="1" applyFont="1" applyFill="1" applyBorder="1"/>
    <xf numFmtId="4" fontId="8" fillId="3" borderId="8" xfId="0" applyNumberFormat="1" applyFont="1" applyFill="1" applyBorder="1"/>
    <xf numFmtId="4" fontId="8" fillId="3" borderId="8" xfId="0" applyNumberFormat="1" applyFont="1" applyFill="1" applyBorder="1" applyAlignment="1">
      <alignment horizontal="right" vertical="center"/>
    </xf>
    <xf numFmtId="4" fontId="26" fillId="3" borderId="16" xfId="0" applyNumberFormat="1" applyFont="1" applyFill="1" applyBorder="1" applyAlignment="1">
      <alignment horizontal="center"/>
    </xf>
    <xf numFmtId="4" fontId="26" fillId="3" borderId="8" xfId="0" applyNumberFormat="1" applyFont="1" applyFill="1" applyBorder="1" applyAlignment="1">
      <alignment horizontal="center"/>
    </xf>
    <xf numFmtId="4" fontId="26" fillId="3" borderId="41" xfId="0" applyNumberFormat="1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/>
    </xf>
    <xf numFmtId="14" fontId="0" fillId="0" borderId="0" xfId="0" applyNumberFormat="1"/>
    <xf numFmtId="0" fontId="16" fillId="3" borderId="0" xfId="0" applyFont="1" applyFill="1"/>
    <xf numFmtId="9" fontId="0" fillId="0" borderId="0" xfId="0" applyNumberFormat="1"/>
    <xf numFmtId="0" fontId="13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4" borderId="0" xfId="0" applyFill="1"/>
    <xf numFmtId="9" fontId="0" fillId="0" borderId="0" xfId="0" applyNumberFormat="1" applyAlignment="1">
      <alignment horizontal="center"/>
    </xf>
    <xf numFmtId="0" fontId="30" fillId="4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3" borderId="0" xfId="0" applyNumberFormat="1" applyFill="1"/>
    <xf numFmtId="4" fontId="0" fillId="3" borderId="0" xfId="0" applyNumberFormat="1" applyFill="1"/>
    <xf numFmtId="0" fontId="1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30" fillId="3" borderId="0" xfId="0" applyFont="1" applyFill="1" applyAlignment="1">
      <alignment horizontal="center"/>
    </xf>
    <xf numFmtId="0" fontId="40" fillId="3" borderId="0" xfId="0" applyFont="1" applyFill="1" applyAlignment="1">
      <alignment horizontal="center"/>
    </xf>
    <xf numFmtId="164" fontId="34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0" fillId="0" borderId="1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4" borderId="19" xfId="0" applyFill="1" applyBorder="1" applyAlignment="1">
      <alignment horizontal="right" vertical="center"/>
    </xf>
    <xf numFmtId="0" fontId="2" fillId="6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right" vertical="center"/>
    </xf>
    <xf numFmtId="0" fontId="2" fillId="8" borderId="19" xfId="0" applyFont="1" applyFill="1" applyBorder="1" applyAlignment="1">
      <alignment horizontal="right" vertical="center"/>
    </xf>
    <xf numFmtId="0" fontId="0" fillId="9" borderId="19" xfId="0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5" fontId="0" fillId="0" borderId="34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8" fontId="1" fillId="4" borderId="22" xfId="0" applyNumberFormat="1" applyFont="1" applyFill="1" applyBorder="1" applyAlignment="1">
      <alignment horizontal="center" vertical="center"/>
    </xf>
    <xf numFmtId="0" fontId="2" fillId="6" borderId="59" xfId="0" applyFont="1" applyFill="1" applyBorder="1" applyAlignment="1">
      <alignment horizontal="right"/>
    </xf>
    <xf numFmtId="0" fontId="2" fillId="7" borderId="59" xfId="0" applyFont="1" applyFill="1" applyBorder="1" applyAlignment="1">
      <alignment horizontal="right"/>
    </xf>
    <xf numFmtId="0" fontId="2" fillId="8" borderId="59" xfId="0" applyFont="1" applyFill="1" applyBorder="1" applyAlignment="1">
      <alignment horizontal="right"/>
    </xf>
    <xf numFmtId="0" fontId="0" fillId="9" borderId="59" xfId="0" applyFill="1" applyBorder="1" applyAlignment="1">
      <alignment horizontal="right"/>
    </xf>
    <xf numFmtId="9" fontId="30" fillId="24" borderId="0" xfId="0" applyNumberFormat="1" applyFont="1" applyFill="1" applyAlignment="1">
      <alignment horizontal="center" vertical="center"/>
    </xf>
    <xf numFmtId="0" fontId="27" fillId="40" borderId="32" xfId="0" applyFont="1" applyFill="1" applyBorder="1" applyAlignment="1">
      <alignment horizontal="center" vertical="center" wrapText="1"/>
    </xf>
    <xf numFmtId="0" fontId="27" fillId="40" borderId="6" xfId="0" applyFont="1" applyFill="1" applyBorder="1" applyAlignment="1">
      <alignment horizontal="center" vertical="center" wrapText="1"/>
    </xf>
    <xf numFmtId="0" fontId="27" fillId="40" borderId="24" xfId="0" applyFont="1" applyFill="1" applyBorder="1" applyAlignment="1">
      <alignment horizontal="center" vertical="center" wrapText="1"/>
    </xf>
    <xf numFmtId="164" fontId="0" fillId="18" borderId="0" xfId="0" applyNumberFormat="1" applyFill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164" fontId="0" fillId="18" borderId="6" xfId="0" applyNumberFormat="1" applyFill="1" applyBorder="1" applyAlignment="1">
      <alignment horizontal="center"/>
    </xf>
    <xf numFmtId="164" fontId="0" fillId="18" borderId="35" xfId="0" applyNumberFormat="1" applyFill="1" applyBorder="1" applyAlignment="1">
      <alignment horizontal="center"/>
    </xf>
    <xf numFmtId="40" fontId="33" fillId="41" borderId="0" xfId="1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164" fontId="0" fillId="3" borderId="0" xfId="0" applyNumberFormat="1" applyFill="1"/>
    <xf numFmtId="9" fontId="0" fillId="3" borderId="5" xfId="0" applyNumberFormat="1" applyFill="1" applyBorder="1" applyAlignment="1">
      <alignment horizontal="center"/>
    </xf>
    <xf numFmtId="0" fontId="27" fillId="40" borderId="44" xfId="0" applyFont="1" applyFill="1" applyBorder="1" applyAlignment="1">
      <alignment horizontal="center" vertical="center" wrapText="1"/>
    </xf>
    <xf numFmtId="9" fontId="0" fillId="18" borderId="5" xfId="0" applyNumberFormat="1" applyFill="1" applyBorder="1" applyAlignment="1">
      <alignment horizontal="center"/>
    </xf>
    <xf numFmtId="9" fontId="0" fillId="18" borderId="0" xfId="0" applyNumberFormat="1" applyFill="1" applyAlignment="1">
      <alignment horizontal="center"/>
    </xf>
    <xf numFmtId="0" fontId="27" fillId="20" borderId="39" xfId="0" applyFont="1" applyFill="1" applyBorder="1" applyAlignment="1">
      <alignment horizontal="center"/>
    </xf>
    <xf numFmtId="0" fontId="26" fillId="3" borderId="16" xfId="0" applyFont="1" applyFill="1" applyBorder="1"/>
    <xf numFmtId="0" fontId="26" fillId="3" borderId="8" xfId="0" applyFont="1" applyFill="1" applyBorder="1"/>
    <xf numFmtId="0" fontId="26" fillId="3" borderId="41" xfId="0" applyFont="1" applyFill="1" applyBorder="1"/>
    <xf numFmtId="0" fontId="7" fillId="3" borderId="71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 vertical="center"/>
    </xf>
    <xf numFmtId="0" fontId="26" fillId="18" borderId="16" xfId="0" applyFont="1" applyFill="1" applyBorder="1"/>
    <xf numFmtId="0" fontId="7" fillId="23" borderId="61" xfId="0" applyFont="1" applyFill="1" applyBorder="1" applyAlignment="1">
      <alignment horizontal="center"/>
    </xf>
    <xf numFmtId="0" fontId="7" fillId="23" borderId="61" xfId="0" applyFont="1" applyFill="1" applyBorder="1"/>
    <xf numFmtId="0" fontId="26" fillId="23" borderId="61" xfId="0" applyFont="1" applyFill="1" applyBorder="1"/>
    <xf numFmtId="0" fontId="26" fillId="23" borderId="61" xfId="0" applyFont="1" applyFill="1" applyBorder="1" applyAlignment="1">
      <alignment horizontal="center"/>
    </xf>
    <xf numFmtId="0" fontId="27" fillId="23" borderId="61" xfId="0" applyFont="1" applyFill="1" applyBorder="1"/>
    <xf numFmtId="0" fontId="7" fillId="23" borderId="15" xfId="0" applyFont="1" applyFill="1" applyBorder="1" applyAlignment="1">
      <alignment horizontal="center"/>
    </xf>
    <xf numFmtId="0" fontId="7" fillId="3" borderId="59" xfId="0" applyFont="1" applyFill="1" applyBorder="1" applyAlignment="1">
      <alignment horizontal="center"/>
    </xf>
    <xf numFmtId="0" fontId="26" fillId="23" borderId="58" xfId="0" applyFont="1" applyFill="1" applyBorder="1"/>
    <xf numFmtId="165" fontId="0" fillId="0" borderId="35" xfId="0" applyNumberFormat="1" applyBorder="1" applyAlignment="1">
      <alignment vertic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6" fillId="3" borderId="0" xfId="0" applyFont="1" applyFill="1" applyAlignment="1">
      <alignment vertical="center"/>
    </xf>
    <xf numFmtId="166" fontId="26" fillId="3" borderId="8" xfId="0" applyNumberFormat="1" applyFont="1" applyFill="1" applyBorder="1"/>
    <xf numFmtId="166" fontId="26" fillId="3" borderId="41" xfId="0" applyNumberFormat="1" applyFont="1" applyFill="1" applyBorder="1"/>
    <xf numFmtId="166" fontId="26" fillId="3" borderId="16" xfId="0" applyNumberFormat="1" applyFont="1" applyFill="1" applyBorder="1"/>
    <xf numFmtId="0" fontId="8" fillId="0" borderId="11" xfId="0" applyFont="1" applyBorder="1" applyAlignment="1">
      <alignment horizontal="center" vertical="center"/>
    </xf>
    <xf numFmtId="4" fontId="58" fillId="0" borderId="0" xfId="0" applyNumberFormat="1" applyFont="1"/>
    <xf numFmtId="15" fontId="0" fillId="0" borderId="0" xfId="0" applyNumberFormat="1"/>
    <xf numFmtId="0" fontId="1" fillId="33" borderId="1" xfId="0" applyFont="1" applyFill="1" applyBorder="1"/>
    <xf numFmtId="0" fontId="1" fillId="33" borderId="34" xfId="0" applyFont="1" applyFill="1" applyBorder="1"/>
    <xf numFmtId="0" fontId="14" fillId="0" borderId="0" xfId="0" applyFont="1" applyAlignment="1">
      <alignment horizontal="center"/>
    </xf>
    <xf numFmtId="0" fontId="0" fillId="4" borderId="12" xfId="0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2" fillId="3" borderId="0" xfId="0" applyFont="1" applyFill="1"/>
    <xf numFmtId="0" fontId="0" fillId="4" borderId="38" xfId="0" applyFill="1" applyBorder="1" applyAlignment="1">
      <alignment horizontal="right"/>
    </xf>
    <xf numFmtId="0" fontId="1" fillId="4" borderId="40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164" fontId="7" fillId="21" borderId="37" xfId="0" applyNumberFormat="1" applyFont="1" applyFill="1" applyBorder="1" applyAlignment="1">
      <alignment horizontal="center"/>
    </xf>
    <xf numFmtId="0" fontId="59" fillId="3" borderId="0" xfId="0" applyFont="1" applyFill="1"/>
    <xf numFmtId="38" fontId="8" fillId="0" borderId="13" xfId="0" applyNumberFormat="1" applyFont="1" applyBorder="1" applyAlignment="1">
      <alignment horizontal="center" vertical="center"/>
    </xf>
    <xf numFmtId="166" fontId="26" fillId="3" borderId="8" xfId="0" applyNumberFormat="1" applyFont="1" applyFill="1" applyBorder="1" applyAlignment="1">
      <alignment horizontal="center"/>
    </xf>
    <xf numFmtId="166" fontId="26" fillId="3" borderId="41" xfId="0" applyNumberFormat="1" applyFont="1" applyFill="1" applyBorder="1" applyAlignment="1">
      <alignment horizontal="center"/>
    </xf>
    <xf numFmtId="166" fontId="26" fillId="3" borderId="16" xfId="0" applyNumberFormat="1" applyFont="1" applyFill="1" applyBorder="1" applyAlignment="1">
      <alignment horizontal="center"/>
    </xf>
    <xf numFmtId="0" fontId="0" fillId="0" borderId="72" xfId="0" applyBorder="1"/>
    <xf numFmtId="165" fontId="0" fillId="0" borderId="59" xfId="0" applyNumberFormat="1" applyBorder="1"/>
    <xf numFmtId="165" fontId="0" fillId="73" borderId="59" xfId="0" applyNumberFormat="1" applyFill="1" applyBorder="1"/>
    <xf numFmtId="0" fontId="0" fillId="0" borderId="4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73" borderId="54" xfId="0" applyFill="1" applyBorder="1"/>
    <xf numFmtId="0" fontId="0" fillId="0" borderId="54" xfId="0" applyBorder="1"/>
    <xf numFmtId="0" fontId="0" fillId="0" borderId="55" xfId="0" applyBorder="1"/>
    <xf numFmtId="165" fontId="0" fillId="0" borderId="22" xfId="0" applyNumberFormat="1" applyBorder="1"/>
    <xf numFmtId="0" fontId="0" fillId="0" borderId="73" xfId="0" applyBorder="1" applyAlignment="1">
      <alignment horizontal="center" vertical="center"/>
    </xf>
    <xf numFmtId="0" fontId="0" fillId="71" borderId="72" xfId="0" applyFill="1" applyBorder="1"/>
    <xf numFmtId="165" fontId="0" fillId="71" borderId="72" xfId="0" applyNumberFormat="1" applyFill="1" applyBorder="1"/>
    <xf numFmtId="0" fontId="0" fillId="24" borderId="72" xfId="0" applyFill="1" applyBorder="1"/>
    <xf numFmtId="165" fontId="0" fillId="24" borderId="72" xfId="0" applyNumberFormat="1" applyFill="1" applyBorder="1"/>
    <xf numFmtId="0" fontId="0" fillId="72" borderId="50" xfId="0" applyFill="1" applyBorder="1" applyAlignment="1">
      <alignment wrapText="1"/>
    </xf>
    <xf numFmtId="165" fontId="0" fillId="72" borderId="72" xfId="0" applyNumberFormat="1" applyFill="1" applyBorder="1"/>
    <xf numFmtId="0" fontId="0" fillId="74" borderId="72" xfId="0" applyFill="1" applyBorder="1"/>
    <xf numFmtId="165" fontId="0" fillId="74" borderId="72" xfId="0" applyNumberFormat="1" applyFill="1" applyBorder="1"/>
    <xf numFmtId="0" fontId="0" fillId="75" borderId="72" xfId="0" applyFill="1" applyBorder="1"/>
    <xf numFmtId="165" fontId="1" fillId="75" borderId="72" xfId="0" applyNumberFormat="1" applyFont="1" applyFill="1" applyBorder="1"/>
    <xf numFmtId="0" fontId="0" fillId="0" borderId="75" xfId="0" applyBorder="1" applyAlignment="1">
      <alignment horizontal="center" vertical="center" wrapText="1"/>
    </xf>
    <xf numFmtId="165" fontId="0" fillId="73" borderId="57" xfId="0" applyNumberFormat="1" applyFill="1" applyBorder="1" applyAlignment="1">
      <alignment horizontal="right"/>
    </xf>
    <xf numFmtId="165" fontId="0" fillId="0" borderId="57" xfId="0" applyNumberFormat="1" applyBorder="1" applyAlignment="1">
      <alignment horizontal="right"/>
    </xf>
    <xf numFmtId="165" fontId="0" fillId="0" borderId="24" xfId="0" applyNumberFormat="1" applyBorder="1" applyAlignment="1">
      <alignment horizontal="right"/>
    </xf>
    <xf numFmtId="8" fontId="0" fillId="0" borderId="50" xfId="0" applyNumberFormat="1" applyBorder="1" applyAlignment="1">
      <alignment wrapText="1"/>
    </xf>
    <xf numFmtId="14" fontId="0" fillId="0" borderId="50" xfId="0" applyNumberFormat="1" applyBorder="1" applyAlignment="1">
      <alignment wrapText="1"/>
    </xf>
    <xf numFmtId="164" fontId="5" fillId="3" borderId="4" xfId="0" applyNumberFormat="1" applyFon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64" fontId="0" fillId="3" borderId="57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vertical="center"/>
    </xf>
    <xf numFmtId="4" fontId="26" fillId="19" borderId="49" xfId="0" applyNumberFormat="1" applyFont="1" applyFill="1" applyBorder="1"/>
    <xf numFmtId="9" fontId="14" fillId="4" borderId="0" xfId="0" applyNumberFormat="1" applyFont="1" applyFill="1" applyAlignment="1">
      <alignment horizontal="center" vertical="center"/>
    </xf>
    <xf numFmtId="0" fontId="14" fillId="73" borderId="0" xfId="0" applyFont="1" applyFill="1" applyAlignment="1">
      <alignment horizontal="center" vertical="center"/>
    </xf>
    <xf numFmtId="0" fontId="0" fillId="73" borderId="0" xfId="0" applyFill="1" applyAlignment="1">
      <alignment horizontal="center"/>
    </xf>
    <xf numFmtId="0" fontId="0" fillId="73" borderId="12" xfId="0" applyFill="1" applyBorder="1" applyAlignment="1">
      <alignment horizontal="center"/>
    </xf>
    <xf numFmtId="9" fontId="14" fillId="73" borderId="0" xfId="0" applyNumberFormat="1" applyFont="1" applyFill="1" applyAlignment="1">
      <alignment horizontal="center" vertical="center"/>
    </xf>
    <xf numFmtId="0" fontId="15" fillId="77" borderId="0" xfId="0" applyFont="1" applyFill="1" applyAlignment="1">
      <alignment horizontal="center" vertical="center"/>
    </xf>
    <xf numFmtId="0" fontId="0" fillId="73" borderId="9" xfId="0" applyFill="1" applyBorder="1" applyAlignment="1">
      <alignment horizontal="center"/>
    </xf>
    <xf numFmtId="0" fontId="0" fillId="73" borderId="15" xfId="0" applyFill="1" applyBorder="1" applyAlignment="1">
      <alignment horizontal="center"/>
    </xf>
    <xf numFmtId="0" fontId="0" fillId="73" borderId="10" xfId="0" applyFill="1" applyBorder="1" applyAlignment="1">
      <alignment horizontal="center"/>
    </xf>
    <xf numFmtId="0" fontId="14" fillId="73" borderId="11" xfId="0" applyFont="1" applyFill="1" applyBorder="1" applyAlignment="1">
      <alignment horizontal="center" vertical="center"/>
    </xf>
    <xf numFmtId="9" fontId="14" fillId="73" borderId="12" xfId="0" applyNumberFormat="1" applyFont="1" applyFill="1" applyBorder="1" applyAlignment="1">
      <alignment horizontal="center" vertical="center"/>
    </xf>
    <xf numFmtId="0" fontId="14" fillId="73" borderId="13" xfId="0" applyFont="1" applyFill="1" applyBorder="1" applyAlignment="1">
      <alignment horizontal="center" vertical="center"/>
    </xf>
    <xf numFmtId="0" fontId="14" fillId="73" borderId="7" xfId="0" applyFont="1" applyFill="1" applyBorder="1" applyAlignment="1">
      <alignment horizontal="center" vertical="center"/>
    </xf>
    <xf numFmtId="9" fontId="14" fillId="73" borderId="7" xfId="0" applyNumberFormat="1" applyFont="1" applyFill="1" applyBorder="1" applyAlignment="1">
      <alignment horizontal="center" vertical="center"/>
    </xf>
    <xf numFmtId="9" fontId="14" fillId="73" borderId="14" xfId="0" applyNumberFormat="1" applyFont="1" applyFill="1" applyBorder="1" applyAlignment="1">
      <alignment horizontal="center" vertical="center"/>
    </xf>
    <xf numFmtId="0" fontId="14" fillId="77" borderId="11" xfId="0" applyFont="1" applyFill="1" applyBorder="1" applyAlignment="1">
      <alignment horizontal="center" vertical="center"/>
    </xf>
    <xf numFmtId="0" fontId="14" fillId="77" borderId="13" xfId="0" applyFont="1" applyFill="1" applyBorder="1" applyAlignment="1">
      <alignment horizontal="center" vertical="center"/>
    </xf>
    <xf numFmtId="0" fontId="60" fillId="76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right" vertical="top" wrapText="1"/>
    </xf>
    <xf numFmtId="0" fontId="14" fillId="77" borderId="9" xfId="0" applyFont="1" applyFill="1" applyBorder="1" applyAlignment="1">
      <alignment horizontal="center" vertical="center"/>
    </xf>
    <xf numFmtId="0" fontId="15" fillId="77" borderId="15" xfId="0" applyFont="1" applyFill="1" applyBorder="1" applyAlignment="1">
      <alignment horizontal="center" vertical="center"/>
    </xf>
    <xf numFmtId="9" fontId="15" fillId="77" borderId="10" xfId="0" applyNumberFormat="1" applyFont="1" applyFill="1" applyBorder="1" applyAlignment="1">
      <alignment horizontal="center" vertical="center"/>
    </xf>
    <xf numFmtId="9" fontId="15" fillId="77" borderId="12" xfId="0" applyNumberFormat="1" applyFont="1" applyFill="1" applyBorder="1" applyAlignment="1">
      <alignment horizontal="center" vertical="center"/>
    </xf>
    <xf numFmtId="0" fontId="15" fillId="77" borderId="7" xfId="0" applyFont="1" applyFill="1" applyBorder="1" applyAlignment="1">
      <alignment horizontal="center" vertical="center"/>
    </xf>
    <xf numFmtId="9" fontId="15" fillId="77" borderId="14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top" wrapText="1"/>
    </xf>
    <xf numFmtId="0" fontId="14" fillId="78" borderId="0" xfId="0" applyFont="1" applyFill="1" applyAlignment="1">
      <alignment horizontal="center" vertical="center"/>
    </xf>
    <xf numFmtId="0" fontId="15" fillId="78" borderId="0" xfId="0" applyFont="1" applyFill="1" applyAlignment="1">
      <alignment horizontal="center" vertical="center"/>
    </xf>
    <xf numFmtId="9" fontId="14" fillId="78" borderId="0" xfId="0" applyNumberFormat="1" applyFont="1" applyFill="1" applyAlignment="1">
      <alignment horizontal="center" vertical="center"/>
    </xf>
    <xf numFmtId="0" fontId="0" fillId="1" borderId="0" xfId="0" applyFill="1" applyAlignment="1">
      <alignment horizontal="center"/>
    </xf>
    <xf numFmtId="0" fontId="0" fillId="1" borderId="12" xfId="0" applyFill="1" applyBorder="1" applyAlignment="1">
      <alignment horizontal="center"/>
    </xf>
    <xf numFmtId="165" fontId="12" fillId="79" borderId="0" xfId="0" applyNumberFormat="1" applyFont="1" applyFill="1" applyAlignment="1">
      <alignment horizontal="center" vertical="center"/>
    </xf>
    <xf numFmtId="9" fontId="0" fillId="79" borderId="0" xfId="0" applyNumberFormat="1" applyFill="1" applyAlignment="1">
      <alignment horizontal="center"/>
    </xf>
    <xf numFmtId="0" fontId="0" fillId="1" borderId="0" xfId="0" applyFill="1"/>
    <xf numFmtId="167" fontId="0" fillId="0" borderId="0" xfId="0" applyNumberFormat="1"/>
    <xf numFmtId="14" fontId="0" fillId="0" borderId="50" xfId="0" applyNumberFormat="1" applyBorder="1" applyAlignment="1">
      <alignment horizontal="right" wrapText="1"/>
    </xf>
    <xf numFmtId="0" fontId="0" fillId="3" borderId="0" xfId="0" applyFill="1" applyAlignment="1">
      <alignment wrapText="1"/>
    </xf>
    <xf numFmtId="167" fontId="0" fillId="3" borderId="0" xfId="0" applyNumberFormat="1" applyFill="1"/>
    <xf numFmtId="165" fontId="0" fillId="3" borderId="0" xfId="0" applyNumberFormat="1" applyFill="1"/>
    <xf numFmtId="167" fontId="0" fillId="5" borderId="0" xfId="0" applyNumberFormat="1" applyFill="1" applyAlignment="1">
      <alignment horizontal="center"/>
    </xf>
    <xf numFmtId="165" fontId="1" fillId="3" borderId="0" xfId="0" applyNumberFormat="1" applyFont="1" applyFill="1"/>
    <xf numFmtId="0" fontId="0" fillId="0" borderId="74" xfId="0" applyBorder="1" applyAlignment="1">
      <alignment wrapText="1"/>
    </xf>
    <xf numFmtId="0" fontId="0" fillId="0" borderId="79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 wrapText="1"/>
    </xf>
    <xf numFmtId="0" fontId="26" fillId="3" borderId="16" xfId="0" applyFont="1" applyFill="1" applyBorder="1" applyAlignment="1">
      <alignment horizontal="left"/>
    </xf>
    <xf numFmtId="0" fontId="26" fillId="0" borderId="0" xfId="5" applyFont="1"/>
    <xf numFmtId="0" fontId="0" fillId="0" borderId="5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2" fontId="0" fillId="0" borderId="50" xfId="0" applyNumberFormat="1" applyBorder="1" applyAlignment="1">
      <alignment wrapText="1"/>
    </xf>
    <xf numFmtId="49" fontId="0" fillId="0" borderId="50" xfId="0" applyNumberFormat="1" applyBorder="1" applyAlignment="1">
      <alignment wrapText="1"/>
    </xf>
    <xf numFmtId="164" fontId="16" fillId="3" borderId="0" xfId="0" applyNumberFormat="1" applyFont="1" applyFill="1"/>
    <xf numFmtId="164" fontId="63" fillId="3" borderId="0" xfId="0" applyNumberFormat="1" applyFont="1" applyFill="1"/>
    <xf numFmtId="0" fontId="19" fillId="0" borderId="0" xfId="45"/>
    <xf numFmtId="8" fontId="19" fillId="0" borderId="0" xfId="45" applyNumberFormat="1"/>
    <xf numFmtId="43" fontId="19" fillId="0" borderId="0" xfId="45" applyNumberFormat="1"/>
    <xf numFmtId="168" fontId="7" fillId="0" borderId="80" xfId="45" applyNumberFormat="1" applyFont="1" applyBorder="1"/>
    <xf numFmtId="43" fontId="7" fillId="0" borderId="55" xfId="44" applyFont="1" applyBorder="1"/>
    <xf numFmtId="168" fontId="1" fillId="0" borderId="81" xfId="44" applyNumberFormat="1" applyFont="1" applyBorder="1"/>
    <xf numFmtId="0" fontId="1" fillId="0" borderId="82" xfId="0" applyFont="1" applyBorder="1"/>
    <xf numFmtId="168" fontId="19" fillId="0" borderId="83" xfId="45" applyNumberFormat="1" applyBorder="1"/>
    <xf numFmtId="0" fontId="19" fillId="0" borderId="57" xfId="45" applyBorder="1"/>
    <xf numFmtId="0" fontId="19" fillId="0" borderId="59" xfId="45" applyBorder="1"/>
    <xf numFmtId="0" fontId="19" fillId="0" borderId="54" xfId="45" applyBorder="1"/>
    <xf numFmtId="168" fontId="0" fillId="0" borderId="57" xfId="44" applyNumberFormat="1" applyFont="1" applyBorder="1"/>
    <xf numFmtId="0" fontId="1" fillId="0" borderId="54" xfId="0" applyFont="1" applyBorder="1" applyAlignment="1">
      <alignment horizontal="right"/>
    </xf>
    <xf numFmtId="43" fontId="19" fillId="0" borderId="57" xfId="45" applyNumberFormat="1" applyBorder="1"/>
    <xf numFmtId="43" fontId="19" fillId="0" borderId="59" xfId="45" applyNumberFormat="1" applyBorder="1"/>
    <xf numFmtId="43" fontId="19" fillId="0" borderId="54" xfId="45" applyNumberFormat="1" applyBorder="1"/>
    <xf numFmtId="168" fontId="0" fillId="0" borderId="56" xfId="44" applyNumberFormat="1" applyFont="1" applyBorder="1"/>
    <xf numFmtId="0" fontId="0" fillId="0" borderId="73" xfId="0" applyBorder="1"/>
    <xf numFmtId="0" fontId="7" fillId="0" borderId="84" xfId="45" applyFont="1" applyBorder="1" applyAlignment="1">
      <alignment horizontal="center" wrapText="1"/>
    </xf>
    <xf numFmtId="0" fontId="7" fillId="0" borderId="56" xfId="45" applyFont="1" applyBorder="1" applyAlignment="1">
      <alignment horizontal="center"/>
    </xf>
    <xf numFmtId="0" fontId="7" fillId="0" borderId="45" xfId="45" applyFont="1" applyBorder="1" applyAlignment="1">
      <alignment horizontal="center"/>
    </xf>
    <xf numFmtId="0" fontId="7" fillId="0" borderId="73" xfId="45" applyFont="1" applyBorder="1" applyAlignment="1">
      <alignment horizontal="center"/>
    </xf>
    <xf numFmtId="0" fontId="0" fillId="3" borderId="59" xfId="0" applyFill="1" applyBorder="1"/>
    <xf numFmtId="169" fontId="19" fillId="0" borderId="0" xfId="45" applyNumberFormat="1"/>
    <xf numFmtId="169" fontId="9" fillId="0" borderId="0" xfId="0" applyNumberFormat="1" applyFont="1"/>
    <xf numFmtId="169" fontId="64" fillId="0" borderId="0" xfId="0" applyNumberFormat="1" applyFont="1"/>
    <xf numFmtId="4" fontId="26" fillId="3" borderId="49" xfId="0" applyNumberFormat="1" applyFont="1" applyFill="1" applyBorder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4" fillId="80" borderId="0" xfId="0" applyFont="1" applyFill="1" applyAlignment="1">
      <alignment horizontal="center" vertical="center"/>
    </xf>
    <xf numFmtId="9" fontId="14" fillId="80" borderId="0" xfId="0" applyNumberFormat="1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13" fillId="80" borderId="0" xfId="0" applyFont="1" applyFill="1" applyAlignment="1">
      <alignment horizontal="center" vertical="center"/>
    </xf>
    <xf numFmtId="9" fontId="14" fillId="80" borderId="12" xfId="0" applyNumberFormat="1" applyFont="1" applyFill="1" applyBorder="1" applyAlignment="1">
      <alignment horizontal="center" vertical="center"/>
    </xf>
    <xf numFmtId="0" fontId="14" fillId="80" borderId="7" xfId="0" applyFont="1" applyFill="1" applyBorder="1" applyAlignment="1">
      <alignment horizontal="center" vertical="center"/>
    </xf>
    <xf numFmtId="9" fontId="61" fillId="80" borderId="7" xfId="0" applyNumberFormat="1" applyFont="1" applyFill="1" applyBorder="1" applyAlignment="1">
      <alignment horizontal="center" vertical="center"/>
    </xf>
    <xf numFmtId="0" fontId="61" fillId="80" borderId="7" xfId="0" applyFont="1" applyFill="1" applyBorder="1" applyAlignment="1">
      <alignment horizontal="center" vertical="center"/>
    </xf>
    <xf numFmtId="9" fontId="14" fillId="80" borderId="7" xfId="0" applyNumberFormat="1" applyFont="1" applyFill="1" applyBorder="1" applyAlignment="1">
      <alignment horizontal="center" vertical="center"/>
    </xf>
    <xf numFmtId="0" fontId="6" fillId="80" borderId="7" xfId="0" applyFont="1" applyFill="1" applyBorder="1" applyAlignment="1">
      <alignment horizontal="center" vertical="center"/>
    </xf>
    <xf numFmtId="0" fontId="13" fillId="80" borderId="7" xfId="0" applyFont="1" applyFill="1" applyBorder="1" applyAlignment="1">
      <alignment horizontal="center" vertical="center"/>
    </xf>
    <xf numFmtId="9" fontId="14" fillId="80" borderId="14" xfId="0" applyNumberFormat="1" applyFont="1" applyFill="1" applyBorder="1" applyAlignment="1">
      <alignment horizontal="center" vertical="center"/>
    </xf>
    <xf numFmtId="4" fontId="8" fillId="3" borderId="41" xfId="0" applyNumberFormat="1" applyFont="1" applyFill="1" applyBorder="1" applyAlignment="1">
      <alignment horizontal="right" vertical="center"/>
    </xf>
    <xf numFmtId="0" fontId="19" fillId="3" borderId="0" xfId="45" applyFill="1"/>
    <xf numFmtId="0" fontId="7" fillId="3" borderId="0" xfId="45" applyFont="1" applyFill="1" applyAlignment="1">
      <alignment horizontal="center"/>
    </xf>
    <xf numFmtId="168" fontId="19" fillId="3" borderId="0" xfId="44" applyNumberFormat="1" applyFont="1" applyFill="1" applyBorder="1" applyAlignment="1">
      <alignment horizontal="center"/>
    </xf>
    <xf numFmtId="0" fontId="7" fillId="3" borderId="0" xfId="45" applyFont="1" applyFill="1" applyAlignment="1">
      <alignment horizontal="left"/>
    </xf>
    <xf numFmtId="168" fontId="19" fillId="3" borderId="0" xfId="44" applyNumberFormat="1" applyFont="1" applyFill="1" applyBorder="1"/>
    <xf numFmtId="43" fontId="19" fillId="3" borderId="0" xfId="45" applyNumberFormat="1" applyFill="1"/>
    <xf numFmtId="43" fontId="7" fillId="3" borderId="0" xfId="45" applyNumberFormat="1" applyFont="1" applyFill="1"/>
    <xf numFmtId="168" fontId="7" fillId="3" borderId="0" xfId="44" applyNumberFormat="1" applyFont="1" applyFill="1" applyBorder="1"/>
    <xf numFmtId="0" fontId="11" fillId="3" borderId="0" xfId="45" applyFont="1" applyFill="1"/>
    <xf numFmtId="168" fontId="19" fillId="3" borderId="0" xfId="45" applyNumberFormat="1" applyFill="1"/>
    <xf numFmtId="168" fontId="19" fillId="3" borderId="83" xfId="45" applyNumberFormat="1" applyFill="1" applyBorder="1"/>
    <xf numFmtId="0" fontId="0" fillId="14" borderId="48" xfId="0" applyFill="1" applyBorder="1"/>
    <xf numFmtId="0" fontId="19" fillId="16" borderId="47" xfId="0" applyFont="1" applyFill="1" applyBorder="1" applyAlignment="1">
      <alignment horizontal="left"/>
    </xf>
    <xf numFmtId="0" fontId="26" fillId="23" borderId="12" xfId="0" applyFont="1" applyFill="1" applyBorder="1"/>
    <xf numFmtId="0" fontId="19" fillId="3" borderId="59" xfId="0" applyFont="1" applyFill="1" applyBorder="1" applyAlignment="1">
      <alignment horizontal="center" vertical="center"/>
    </xf>
    <xf numFmtId="0" fontId="26" fillId="23" borderId="59" xfId="0" applyFont="1" applyFill="1" applyBorder="1"/>
    <xf numFmtId="0" fontId="19" fillId="3" borderId="16" xfId="0" applyFont="1" applyFill="1" applyBorder="1" applyAlignment="1">
      <alignment horizontal="center" vertical="center" wrapText="1"/>
    </xf>
    <xf numFmtId="4" fontId="19" fillId="3" borderId="59" xfId="0" applyNumberFormat="1" applyFont="1" applyFill="1" applyBorder="1" applyAlignment="1">
      <alignment horizontal="right" vertical="center"/>
    </xf>
    <xf numFmtId="4" fontId="7" fillId="21" borderId="46" xfId="0" applyNumberFormat="1" applyFont="1" applyFill="1" applyBorder="1" applyAlignment="1">
      <alignment horizontal="center" vertical="center"/>
    </xf>
    <xf numFmtId="165" fontId="7" fillId="21" borderId="49" xfId="0" applyNumberFormat="1" applyFont="1" applyFill="1" applyBorder="1" applyAlignment="1">
      <alignment horizontal="center" vertical="center"/>
    </xf>
    <xf numFmtId="4" fontId="19" fillId="3" borderId="16" xfId="0" applyNumberFormat="1" applyFont="1" applyFill="1" applyBorder="1" applyAlignment="1">
      <alignment horizontal="right" vertical="center"/>
    </xf>
    <xf numFmtId="4" fontId="7" fillId="21" borderId="59" xfId="0" applyNumberFormat="1" applyFont="1" applyFill="1" applyBorder="1" applyAlignment="1">
      <alignment horizontal="center" vertical="center"/>
    </xf>
    <xf numFmtId="4" fontId="29" fillId="19" borderId="59" xfId="0" applyNumberFormat="1" applyFont="1" applyFill="1" applyBorder="1" applyAlignment="1">
      <alignment horizontal="center" vertical="center"/>
    </xf>
    <xf numFmtId="0" fontId="2" fillId="14" borderId="0" xfId="0" applyFont="1" applyFill="1"/>
    <xf numFmtId="165" fontId="1" fillId="4" borderId="86" xfId="0" applyNumberFormat="1" applyFont="1" applyFill="1" applyBorder="1" applyAlignment="1">
      <alignment horizontal="center" vertical="center"/>
    </xf>
    <xf numFmtId="9" fontId="0" fillId="4" borderId="87" xfId="0" applyNumberFormat="1" applyFill="1" applyBorder="1" applyAlignment="1">
      <alignment vertical="center"/>
    </xf>
    <xf numFmtId="164" fontId="0" fillId="0" borderId="59" xfId="0" applyNumberForma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9" fontId="0" fillId="0" borderId="59" xfId="0" applyNumberFormat="1" applyBorder="1" applyAlignment="1">
      <alignment vertical="center"/>
    </xf>
    <xf numFmtId="165" fontId="0" fillId="0" borderId="59" xfId="0" applyNumberFormat="1" applyBorder="1" applyAlignment="1">
      <alignment horizontal="center" vertical="center"/>
    </xf>
    <xf numFmtId="8" fontId="0" fillId="0" borderId="59" xfId="0" applyNumberFormat="1" applyBorder="1" applyAlignment="1">
      <alignment vertical="center"/>
    </xf>
    <xf numFmtId="0" fontId="28" fillId="3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3" borderId="0" xfId="0" applyNumberFormat="1" applyFill="1" applyAlignment="1">
      <alignment vertical="center"/>
    </xf>
    <xf numFmtId="9" fontId="0" fillId="3" borderId="0" xfId="0" applyNumberForma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8" fontId="0" fillId="0" borderId="57" xfId="0" applyNumberFormat="1" applyBorder="1" applyAlignment="1">
      <alignment vertical="center"/>
    </xf>
    <xf numFmtId="0" fontId="1" fillId="4" borderId="55" xfId="0" applyFont="1" applyFill="1" applyBorder="1" applyAlignment="1">
      <alignment horizontal="right" vertical="center"/>
    </xf>
    <xf numFmtId="8" fontId="1" fillId="4" borderId="24" xfId="0" applyNumberFormat="1" applyFont="1" applyFill="1" applyBorder="1" applyAlignment="1">
      <alignment horizontal="center" vertical="center"/>
    </xf>
    <xf numFmtId="0" fontId="67" fillId="3" borderId="0" xfId="0" applyFont="1" applyFill="1" applyAlignment="1">
      <alignment horizontal="center" vertical="center"/>
    </xf>
    <xf numFmtId="0" fontId="2" fillId="6" borderId="60" xfId="0" applyFont="1" applyFill="1" applyBorder="1" applyAlignment="1">
      <alignment horizontal="right"/>
    </xf>
    <xf numFmtId="0" fontId="2" fillId="7" borderId="60" xfId="0" applyFont="1" applyFill="1" applyBorder="1" applyAlignment="1">
      <alignment horizontal="right"/>
    </xf>
    <xf numFmtId="0" fontId="2" fillId="8" borderId="60" xfId="0" applyFont="1" applyFill="1" applyBorder="1" applyAlignment="1">
      <alignment horizontal="right"/>
    </xf>
    <xf numFmtId="0" fontId="0" fillId="9" borderId="60" xfId="0" applyFill="1" applyBorder="1" applyAlignment="1">
      <alignment horizontal="right"/>
    </xf>
    <xf numFmtId="164" fontId="0" fillId="18" borderId="1" xfId="0" applyNumberFormat="1" applyFill="1" applyBorder="1" applyAlignment="1">
      <alignment horizontal="center"/>
    </xf>
    <xf numFmtId="0" fontId="68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5" xfId="0" applyBorder="1"/>
    <xf numFmtId="0" fontId="68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/>
    <xf numFmtId="0" fontId="0" fillId="5" borderId="5" xfId="0" applyFill="1" applyBorder="1"/>
    <xf numFmtId="0" fontId="1" fillId="5" borderId="34" xfId="0" applyFont="1" applyFill="1" applyBorder="1"/>
    <xf numFmtId="0" fontId="1" fillId="5" borderId="6" xfId="0" applyFont="1" applyFill="1" applyBorder="1"/>
    <xf numFmtId="0" fontId="0" fillId="5" borderId="35" xfId="0" applyFill="1" applyBorder="1"/>
    <xf numFmtId="0" fontId="1" fillId="5" borderId="5" xfId="0" applyFont="1" applyFill="1" applyBorder="1"/>
    <xf numFmtId="0" fontId="1" fillId="5" borderId="35" xfId="0" applyFont="1" applyFill="1" applyBorder="1"/>
    <xf numFmtId="0" fontId="0" fillId="0" borderId="34" xfId="0" applyBorder="1"/>
    <xf numFmtId="0" fontId="0" fillId="5" borderId="0" xfId="0" applyFill="1"/>
    <xf numFmtId="0" fontId="0" fillId="5" borderId="6" xfId="0" applyFill="1" applyBorder="1"/>
    <xf numFmtId="0" fontId="57" fillId="13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164" fontId="0" fillId="3" borderId="35" xfId="0" applyNumberFormat="1" applyFill="1" applyBorder="1" applyAlignment="1">
      <alignment horizontal="center" vertical="center"/>
    </xf>
    <xf numFmtId="0" fontId="0" fillId="24" borderId="0" xfId="0" applyFill="1"/>
    <xf numFmtId="0" fontId="14" fillId="3" borderId="2" xfId="0" applyFont="1" applyFill="1" applyBorder="1" applyAlignment="1">
      <alignment horizontal="center"/>
    </xf>
    <xf numFmtId="0" fontId="2" fillId="81" borderId="30" xfId="0" applyFont="1" applyFill="1" applyBorder="1" applyAlignment="1">
      <alignment horizontal="right" vertical="center"/>
    </xf>
    <xf numFmtId="0" fontId="2" fillId="7" borderId="30" xfId="0" applyFont="1" applyFill="1" applyBorder="1" applyAlignment="1">
      <alignment horizontal="right" vertical="center"/>
    </xf>
    <xf numFmtId="0" fontId="2" fillId="8" borderId="30" xfId="0" applyFont="1" applyFill="1" applyBorder="1" applyAlignment="1">
      <alignment horizontal="right" vertical="center"/>
    </xf>
    <xf numFmtId="0" fontId="0" fillId="9" borderId="30" xfId="0" applyFill="1" applyBorder="1" applyAlignment="1">
      <alignment horizontal="right" vertical="center"/>
    </xf>
    <xf numFmtId="0" fontId="2" fillId="6" borderId="30" xfId="0" applyFont="1" applyFill="1" applyBorder="1" applyAlignment="1">
      <alignment horizontal="right" vertical="center"/>
    </xf>
    <xf numFmtId="0" fontId="0" fillId="34" borderId="84" xfId="0" applyFill="1" applyBorder="1" applyAlignment="1">
      <alignment horizontal="right" vertical="center"/>
    </xf>
    <xf numFmtId="0" fontId="34" fillId="0" borderId="1" xfId="0" applyFont="1" applyBorder="1" applyAlignment="1">
      <alignment horizontal="right"/>
    </xf>
    <xf numFmtId="9" fontId="5" fillId="0" borderId="0" xfId="0" applyNumberFormat="1" applyFont="1"/>
    <xf numFmtId="0" fontId="5" fillId="0" borderId="5" xfId="0" applyFont="1" applyBorder="1"/>
    <xf numFmtId="0" fontId="34" fillId="0" borderId="1" xfId="0" applyFont="1" applyBorder="1" applyAlignment="1">
      <alignment horizontal="right" wrapText="1"/>
    </xf>
    <xf numFmtId="164" fontId="5" fillId="0" borderId="0" xfId="0" applyNumberFormat="1" applyFont="1"/>
    <xf numFmtId="0" fontId="34" fillId="73" borderId="1" xfId="0" applyFont="1" applyFill="1" applyBorder="1" applyAlignment="1">
      <alignment horizontal="right"/>
    </xf>
    <xf numFmtId="9" fontId="5" fillId="73" borderId="0" xfId="0" applyNumberFormat="1" applyFont="1" applyFill="1"/>
    <xf numFmtId="0" fontId="5" fillId="73" borderId="5" xfId="0" applyFont="1" applyFill="1" applyBorder="1"/>
    <xf numFmtId="164" fontId="5" fillId="73" borderId="0" xfId="0" applyNumberFormat="1" applyFont="1" applyFill="1"/>
    <xf numFmtId="0" fontId="34" fillId="73" borderId="34" xfId="0" applyFont="1" applyFill="1" applyBorder="1" applyAlignment="1">
      <alignment horizontal="right"/>
    </xf>
    <xf numFmtId="9" fontId="5" fillId="73" borderId="6" xfId="0" applyNumberFormat="1" applyFont="1" applyFill="1" applyBorder="1"/>
    <xf numFmtId="9" fontId="5" fillId="73" borderId="35" xfId="0" applyNumberFormat="1" applyFont="1" applyFill="1" applyBorder="1"/>
    <xf numFmtId="0" fontId="66" fillId="14" borderId="0" xfId="0" applyFont="1" applyFill="1" applyAlignment="1">
      <alignment horizontal="center"/>
    </xf>
    <xf numFmtId="0" fontId="65" fillId="0" borderId="9" xfId="0" applyFont="1" applyBorder="1" applyAlignment="1">
      <alignment horizontal="center"/>
    </xf>
    <xf numFmtId="0" fontId="65" fillId="0" borderId="15" xfId="0" applyFont="1" applyBorder="1" applyAlignment="1">
      <alignment horizontal="center"/>
    </xf>
    <xf numFmtId="0" fontId="3" fillId="12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45" fillId="39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8" fillId="27" borderId="30" xfId="0" applyFont="1" applyFill="1" applyBorder="1" applyAlignment="1">
      <alignment horizontal="center"/>
    </xf>
    <xf numFmtId="0" fontId="28" fillId="27" borderId="36" xfId="0" applyFont="1" applyFill="1" applyBorder="1" applyAlignment="1">
      <alignment horizontal="center"/>
    </xf>
    <xf numFmtId="0" fontId="28" fillId="27" borderId="31" xfId="0" applyFont="1" applyFill="1" applyBorder="1" applyAlignment="1">
      <alignment horizontal="center"/>
    </xf>
    <xf numFmtId="0" fontId="31" fillId="40" borderId="30" xfId="0" applyFont="1" applyFill="1" applyBorder="1" applyAlignment="1">
      <alignment horizontal="center" wrapText="1"/>
    </xf>
    <xf numFmtId="0" fontId="31" fillId="40" borderId="36" xfId="0" applyFont="1" applyFill="1" applyBorder="1" applyAlignment="1">
      <alignment horizontal="center" wrapText="1"/>
    </xf>
    <xf numFmtId="0" fontId="31" fillId="40" borderId="31" xfId="0" applyFont="1" applyFill="1" applyBorder="1" applyAlignment="1">
      <alignment horizontal="center" wrapText="1"/>
    </xf>
    <xf numFmtId="0" fontId="9" fillId="5" borderId="30" xfId="0" applyFont="1" applyFill="1" applyBorder="1" applyAlignment="1">
      <alignment horizontal="center" wrapText="1"/>
    </xf>
    <xf numFmtId="0" fontId="9" fillId="5" borderId="36" xfId="0" applyFont="1" applyFill="1" applyBorder="1" applyAlignment="1">
      <alignment horizontal="center" wrapText="1"/>
    </xf>
    <xf numFmtId="0" fontId="9" fillId="5" borderId="31" xfId="0" applyFont="1" applyFill="1" applyBorder="1" applyAlignment="1">
      <alignment horizontal="center" wrapText="1"/>
    </xf>
    <xf numFmtId="0" fontId="9" fillId="15" borderId="30" xfId="0" applyFont="1" applyFill="1" applyBorder="1" applyAlignment="1">
      <alignment horizontal="center" wrapText="1"/>
    </xf>
    <xf numFmtId="0" fontId="9" fillId="15" borderId="36" xfId="0" applyFont="1" applyFill="1" applyBorder="1" applyAlignment="1">
      <alignment horizontal="center" wrapText="1"/>
    </xf>
    <xf numFmtId="0" fontId="9" fillId="15" borderId="31" xfId="0" applyFont="1" applyFill="1" applyBorder="1" applyAlignment="1">
      <alignment horizontal="center" wrapText="1"/>
    </xf>
    <xf numFmtId="0" fontId="9" fillId="10" borderId="30" xfId="0" applyFont="1" applyFill="1" applyBorder="1" applyAlignment="1">
      <alignment horizontal="center" wrapText="1"/>
    </xf>
    <xf numFmtId="0" fontId="9" fillId="10" borderId="36" xfId="0" applyFont="1" applyFill="1" applyBorder="1" applyAlignment="1">
      <alignment horizontal="center" wrapText="1"/>
    </xf>
    <xf numFmtId="0" fontId="9" fillId="10" borderId="31" xfId="0" applyFont="1" applyFill="1" applyBorder="1" applyAlignment="1">
      <alignment horizontal="center" wrapText="1"/>
    </xf>
    <xf numFmtId="0" fontId="46" fillId="12" borderId="17" xfId="0" applyFont="1" applyFill="1" applyBorder="1" applyAlignment="1">
      <alignment horizontal="center" vertical="center"/>
    </xf>
    <xf numFmtId="0" fontId="46" fillId="12" borderId="37" xfId="0" applyFont="1" applyFill="1" applyBorder="1" applyAlignment="1">
      <alignment horizontal="center" vertical="center"/>
    </xf>
    <xf numFmtId="0" fontId="16" fillId="26" borderId="6" xfId="0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1" fillId="25" borderId="30" xfId="0" applyFont="1" applyFill="1" applyBorder="1" applyAlignment="1">
      <alignment horizontal="center"/>
    </xf>
    <xf numFmtId="0" fontId="1" fillId="25" borderId="36" xfId="0" applyFont="1" applyFill="1" applyBorder="1" applyAlignment="1">
      <alignment horizontal="center"/>
    </xf>
    <xf numFmtId="0" fontId="1" fillId="25" borderId="3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7" borderId="0" xfId="0" applyFont="1" applyFill="1" applyAlignment="1">
      <alignment horizontal="center"/>
    </xf>
    <xf numFmtId="0" fontId="43" fillId="37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25" fillId="22" borderId="38" xfId="0" applyFont="1" applyFill="1" applyBorder="1" applyAlignment="1">
      <alignment horizontal="center"/>
    </xf>
    <xf numFmtId="0" fontId="25" fillId="22" borderId="39" xfId="0" applyFont="1" applyFill="1" applyBorder="1" applyAlignment="1">
      <alignment horizontal="center"/>
    </xf>
    <xf numFmtId="0" fontId="25" fillId="22" borderId="40" xfId="0" applyFont="1" applyFill="1" applyBorder="1" applyAlignment="1">
      <alignment horizontal="center"/>
    </xf>
    <xf numFmtId="0" fontId="27" fillId="23" borderId="38" xfId="0" applyFont="1" applyFill="1" applyBorder="1"/>
    <xf numFmtId="0" fontId="27" fillId="23" borderId="39" xfId="0" applyFont="1" applyFill="1" applyBorder="1"/>
    <xf numFmtId="0" fontId="19" fillId="18" borderId="23" xfId="0" applyFont="1" applyFill="1" applyBorder="1" applyAlignment="1">
      <alignment horizontal="left" indent="2"/>
    </xf>
    <xf numFmtId="0" fontId="19" fillId="18" borderId="21" xfId="0" applyFont="1" applyFill="1" applyBorder="1" applyAlignment="1">
      <alignment horizontal="left" indent="2"/>
    </xf>
    <xf numFmtId="0" fontId="19" fillId="18" borderId="28" xfId="0" applyFont="1" applyFill="1" applyBorder="1" applyAlignment="1">
      <alignment horizontal="left" indent="2"/>
    </xf>
    <xf numFmtId="0" fontId="19" fillId="18" borderId="36" xfId="0" applyFont="1" applyFill="1" applyBorder="1" applyAlignment="1">
      <alignment horizontal="left" indent="2"/>
    </xf>
    <xf numFmtId="0" fontId="19" fillId="18" borderId="17" xfId="0" applyFont="1" applyFill="1" applyBorder="1" applyAlignment="1">
      <alignment horizontal="left" indent="2"/>
    </xf>
    <xf numFmtId="0" fontId="19" fillId="18" borderId="37" xfId="0" applyFont="1" applyFill="1" applyBorder="1" applyAlignment="1">
      <alignment horizontal="left" indent="2"/>
    </xf>
    <xf numFmtId="0" fontId="27" fillId="23" borderId="47" xfId="0" applyFont="1" applyFill="1" applyBorder="1"/>
    <xf numFmtId="0" fontId="19" fillId="15" borderId="61" xfId="0" applyFont="1" applyFill="1" applyBorder="1" applyAlignment="1">
      <alignment horizontal="left" vertical="center" wrapText="1"/>
    </xf>
    <xf numFmtId="0" fontId="19" fillId="15" borderId="58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left"/>
    </xf>
    <xf numFmtId="0" fontId="19" fillId="18" borderId="37" xfId="0" applyFont="1" applyFill="1" applyBorder="1" applyAlignment="1">
      <alignment horizontal="left"/>
    </xf>
    <xf numFmtId="0" fontId="27" fillId="20" borderId="38" xfId="0" applyFont="1" applyFill="1" applyBorder="1" applyAlignment="1">
      <alignment horizontal="center"/>
    </xf>
    <xf numFmtId="0" fontId="27" fillId="20" borderId="39" xfId="0" applyFont="1" applyFill="1" applyBorder="1" applyAlignment="1">
      <alignment horizontal="center"/>
    </xf>
    <xf numFmtId="0" fontId="27" fillId="20" borderId="40" xfId="0" applyFont="1" applyFill="1" applyBorder="1" applyAlignment="1">
      <alignment horizontal="center"/>
    </xf>
    <xf numFmtId="0" fontId="19" fillId="15" borderId="36" xfId="0" applyFont="1" applyFill="1" applyBorder="1" applyAlignment="1">
      <alignment horizontal="left" vertical="center" wrapText="1"/>
    </xf>
    <xf numFmtId="0" fontId="19" fillId="15" borderId="85" xfId="0" applyFont="1" applyFill="1" applyBorder="1" applyAlignment="1">
      <alignment horizontal="left" vertical="center" wrapText="1"/>
    </xf>
    <xf numFmtId="0" fontId="19" fillId="19" borderId="17" xfId="0" applyFont="1" applyFill="1" applyBorder="1" applyAlignment="1">
      <alignment horizontal="left"/>
    </xf>
    <xf numFmtId="0" fontId="19" fillId="19" borderId="18" xfId="0" applyFont="1" applyFill="1" applyBorder="1" applyAlignment="1">
      <alignment horizontal="left"/>
    </xf>
    <xf numFmtId="0" fontId="19" fillId="15" borderId="21" xfId="0" applyFont="1" applyFill="1" applyBorder="1" applyAlignment="1">
      <alignment horizontal="left" vertical="center" wrapText="1"/>
    </xf>
    <xf numFmtId="0" fontId="19" fillId="15" borderId="76" xfId="0" applyFont="1" applyFill="1" applyBorder="1" applyAlignment="1">
      <alignment horizontal="left" vertical="center" wrapText="1"/>
    </xf>
    <xf numFmtId="0" fontId="11" fillId="21" borderId="38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11" fillId="21" borderId="40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 wrapText="1"/>
    </xf>
    <xf numFmtId="0" fontId="19" fillId="19" borderId="9" xfId="0" applyFont="1" applyFill="1" applyBorder="1" applyAlignment="1">
      <alignment horizontal="left"/>
    </xf>
    <xf numFmtId="0" fontId="19" fillId="19" borderId="10" xfId="0" applyFont="1" applyFill="1" applyBorder="1" applyAlignment="1">
      <alignment horizontal="left"/>
    </xf>
    <xf numFmtId="0" fontId="7" fillId="21" borderId="38" xfId="0" applyFont="1" applyFill="1" applyBorder="1" applyAlignment="1">
      <alignment horizontal="left" wrapText="1"/>
    </xf>
    <xf numFmtId="0" fontId="7" fillId="21" borderId="47" xfId="0" applyFont="1" applyFill="1" applyBorder="1" applyAlignment="1">
      <alignment horizontal="left" wrapText="1"/>
    </xf>
    <xf numFmtId="0" fontId="7" fillId="21" borderId="3" xfId="0" applyFont="1" applyFill="1" applyBorder="1" applyAlignment="1">
      <alignment horizontal="center" wrapText="1"/>
    </xf>
    <xf numFmtId="0" fontId="7" fillId="21" borderId="48" xfId="0" applyFont="1" applyFill="1" applyBorder="1" applyAlignment="1">
      <alignment horizontal="center" wrapText="1"/>
    </xf>
    <xf numFmtId="0" fontId="19" fillId="19" borderId="13" xfId="0" applyFont="1" applyFill="1" applyBorder="1" applyAlignment="1">
      <alignment horizontal="left"/>
    </xf>
    <xf numFmtId="0" fontId="19" fillId="19" borderId="14" xfId="0" applyFont="1" applyFill="1" applyBorder="1" applyAlignment="1">
      <alignment horizontal="left"/>
    </xf>
    <xf numFmtId="0" fontId="7" fillId="21" borderId="17" xfId="0" applyFont="1" applyFill="1" applyBorder="1" applyAlignment="1">
      <alignment horizontal="left"/>
    </xf>
    <xf numFmtId="0" fontId="7" fillId="21" borderId="18" xfId="0" applyFont="1" applyFill="1" applyBorder="1" applyAlignment="1">
      <alignment horizontal="left"/>
    </xf>
    <xf numFmtId="0" fontId="7" fillId="19" borderId="17" xfId="0" applyFont="1" applyFill="1" applyBorder="1" applyAlignment="1">
      <alignment horizontal="left"/>
    </xf>
    <xf numFmtId="0" fontId="7" fillId="19" borderId="18" xfId="0" applyFont="1" applyFill="1" applyBorder="1" applyAlignment="1">
      <alignment horizontal="left"/>
    </xf>
    <xf numFmtId="0" fontId="19" fillId="18" borderId="13" xfId="0" applyFont="1" applyFill="1" applyBorder="1" applyAlignment="1">
      <alignment horizontal="left" indent="2"/>
    </xf>
    <xf numFmtId="0" fontId="19" fillId="18" borderId="7" xfId="0" applyFont="1" applyFill="1" applyBorder="1" applyAlignment="1">
      <alignment horizontal="left" indent="2"/>
    </xf>
    <xf numFmtId="0" fontId="20" fillId="17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5" fillId="22" borderId="2" xfId="0" applyFont="1" applyFill="1" applyBorder="1" applyAlignment="1">
      <alignment horizontal="center"/>
    </xf>
    <xf numFmtId="0" fontId="25" fillId="22" borderId="3" xfId="0" applyFont="1" applyFill="1" applyBorder="1" applyAlignment="1">
      <alignment horizontal="center"/>
    </xf>
    <xf numFmtId="0" fontId="25" fillId="22" borderId="4" xfId="0" applyFont="1" applyFill="1" applyBorder="1" applyAlignment="1">
      <alignment horizontal="center"/>
    </xf>
    <xf numFmtId="0" fontId="27" fillId="23" borderId="60" xfId="0" applyFont="1" applyFill="1" applyBorder="1"/>
    <xf numFmtId="0" fontId="27" fillId="23" borderId="61" xfId="0" applyFont="1" applyFill="1" applyBorder="1"/>
    <xf numFmtId="0" fontId="19" fillId="18" borderId="9" xfId="0" applyFont="1" applyFill="1" applyBorder="1" applyAlignment="1">
      <alignment horizontal="left" indent="2"/>
    </xf>
    <xf numFmtId="0" fontId="19" fillId="18" borderId="15" xfId="0" applyFont="1" applyFill="1" applyBorder="1" applyAlignment="1">
      <alignment horizontal="left" indent="2"/>
    </xf>
    <xf numFmtId="0" fontId="35" fillId="9" borderId="0" xfId="0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20" fillId="29" borderId="0" xfId="0" applyFont="1" applyFill="1" applyAlignment="1">
      <alignment horizontal="center"/>
    </xf>
    <xf numFmtId="0" fontId="21" fillId="29" borderId="0" xfId="0" applyFont="1" applyFill="1" applyAlignment="1">
      <alignment horizontal="center"/>
    </xf>
    <xf numFmtId="166" fontId="19" fillId="19" borderId="17" xfId="0" applyNumberFormat="1" applyFont="1" applyFill="1" applyBorder="1" applyAlignment="1">
      <alignment horizontal="left"/>
    </xf>
    <xf numFmtId="166" fontId="19" fillId="19" borderId="18" xfId="0" applyNumberFormat="1" applyFont="1" applyFill="1" applyBorder="1" applyAlignment="1">
      <alignment horizontal="left"/>
    </xf>
    <xf numFmtId="166" fontId="7" fillId="21" borderId="17" xfId="0" applyNumberFormat="1" applyFont="1" applyFill="1" applyBorder="1" applyAlignment="1">
      <alignment horizontal="left"/>
    </xf>
    <xf numFmtId="166" fontId="7" fillId="21" borderId="18" xfId="0" applyNumberFormat="1" applyFont="1" applyFill="1" applyBorder="1" applyAlignment="1">
      <alignment horizontal="left"/>
    </xf>
    <xf numFmtId="166" fontId="7" fillId="19" borderId="17" xfId="0" applyNumberFormat="1" applyFont="1" applyFill="1" applyBorder="1" applyAlignment="1">
      <alignment horizontal="left"/>
    </xf>
    <xf numFmtId="166" fontId="7" fillId="19" borderId="18" xfId="0" applyNumberFormat="1" applyFont="1" applyFill="1" applyBorder="1" applyAlignment="1">
      <alignment horizontal="left"/>
    </xf>
    <xf numFmtId="166" fontId="19" fillId="19" borderId="9" xfId="0" applyNumberFormat="1" applyFont="1" applyFill="1" applyBorder="1" applyAlignment="1">
      <alignment horizontal="left"/>
    </xf>
    <xf numFmtId="166" fontId="19" fillId="19" borderId="10" xfId="0" applyNumberFormat="1" applyFont="1" applyFill="1" applyBorder="1" applyAlignment="1">
      <alignment horizontal="left"/>
    </xf>
    <xf numFmtId="166" fontId="19" fillId="19" borderId="13" xfId="0" applyNumberFormat="1" applyFont="1" applyFill="1" applyBorder="1" applyAlignment="1">
      <alignment horizontal="left"/>
    </xf>
    <xf numFmtId="166" fontId="19" fillId="19" borderId="14" xfId="0" applyNumberFormat="1" applyFont="1" applyFill="1" applyBorder="1" applyAlignment="1">
      <alignment horizontal="left"/>
    </xf>
    <xf numFmtId="166" fontId="7" fillId="21" borderId="38" xfId="0" applyNumberFormat="1" applyFont="1" applyFill="1" applyBorder="1" applyAlignment="1">
      <alignment horizontal="left" wrapText="1"/>
    </xf>
    <xf numFmtId="166" fontId="7" fillId="21" borderId="47" xfId="0" applyNumberFormat="1" applyFont="1" applyFill="1" applyBorder="1" applyAlignment="1">
      <alignment horizontal="left" wrapText="1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7" fillId="21" borderId="38" xfId="0" applyFont="1" applyFill="1" applyBorder="1" applyAlignment="1">
      <alignment horizontal="left"/>
    </xf>
    <xf numFmtId="0" fontId="7" fillId="21" borderId="47" xfId="0" applyFont="1" applyFill="1" applyBorder="1" applyAlignment="1">
      <alignment horizontal="left"/>
    </xf>
    <xf numFmtId="0" fontId="7" fillId="19" borderId="13" xfId="0" applyFont="1" applyFill="1" applyBorder="1" applyAlignment="1">
      <alignment horizontal="left"/>
    </xf>
    <xf numFmtId="0" fontId="7" fillId="19" borderId="14" xfId="0" applyFont="1" applyFill="1" applyBorder="1" applyAlignment="1">
      <alignment horizontal="left"/>
    </xf>
    <xf numFmtId="0" fontId="7" fillId="21" borderId="38" xfId="0" applyFont="1" applyFill="1" applyBorder="1" applyAlignment="1">
      <alignment horizontal="center" wrapText="1"/>
    </xf>
    <xf numFmtId="0" fontId="7" fillId="21" borderId="47" xfId="0" applyFont="1" applyFill="1" applyBorder="1" applyAlignment="1">
      <alignment horizontal="center" wrapText="1"/>
    </xf>
    <xf numFmtId="0" fontId="7" fillId="0" borderId="38" xfId="45" applyFont="1" applyBorder="1" applyAlignment="1">
      <alignment horizontal="center"/>
    </xf>
    <xf numFmtId="0" fontId="7" fillId="0" borderId="39" xfId="45" applyFont="1" applyBorder="1" applyAlignment="1">
      <alignment horizontal="center"/>
    </xf>
    <xf numFmtId="0" fontId="7" fillId="0" borderId="40" xfId="45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62" fillId="37" borderId="38" xfId="0" applyFont="1" applyFill="1" applyBorder="1" applyAlignment="1">
      <alignment horizontal="center"/>
    </xf>
    <xf numFmtId="0" fontId="62" fillId="37" borderId="39" xfId="0" applyFont="1" applyFill="1" applyBorder="1" applyAlignment="1">
      <alignment horizontal="center"/>
    </xf>
    <xf numFmtId="0" fontId="62" fillId="37" borderId="4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77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70" borderId="0" xfId="0" applyFill="1" applyAlignment="1">
      <alignment horizontal="center"/>
    </xf>
    <xf numFmtId="0" fontId="0" fillId="70" borderId="12" xfId="0" applyFill="1" applyBorder="1" applyAlignment="1">
      <alignment horizontal="center"/>
    </xf>
    <xf numFmtId="0" fontId="42" fillId="4" borderId="2" xfId="0" applyFont="1" applyFill="1" applyBorder="1" applyAlignment="1">
      <alignment horizontal="center"/>
    </xf>
    <xf numFmtId="0" fontId="42" fillId="4" borderId="3" xfId="0" applyFont="1" applyFill="1" applyBorder="1" applyAlignment="1">
      <alignment horizontal="center"/>
    </xf>
    <xf numFmtId="0" fontId="3" fillId="82" borderId="38" xfId="0" applyFont="1" applyFill="1" applyBorder="1" applyAlignment="1">
      <alignment horizontal="center"/>
    </xf>
    <xf numFmtId="0" fontId="3" fillId="82" borderId="39" xfId="0" applyFont="1" applyFill="1" applyBorder="1" applyAlignment="1">
      <alignment horizontal="center"/>
    </xf>
    <xf numFmtId="0" fontId="3" fillId="82" borderId="40" xfId="0" applyFont="1" applyFill="1" applyBorder="1" applyAlignment="1">
      <alignment horizontal="center"/>
    </xf>
    <xf numFmtId="0" fontId="16" fillId="24" borderId="0" xfId="0" applyFont="1" applyFill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3" builtinId="27" customBuiltin="1"/>
    <cellStyle name="Calculation" xfId="13" builtinId="22" customBuiltin="1"/>
    <cellStyle name="Check Cell" xfId="15" builtinId="23" customBuiltin="1"/>
    <cellStyle name="Comma" xfId="44" builtinId="3"/>
    <cellStyle name="Explanatory Text" xfId="18" builtinId="53" customBuiltin="1"/>
    <cellStyle name="Good" xfId="2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5" builtinId="8"/>
    <cellStyle name="Input" xfId="11" builtinId="20" customBuiltin="1"/>
    <cellStyle name="Linked Cell" xfId="14" builtinId="24" customBuiltin="1"/>
    <cellStyle name="Neutral" xfId="4" builtinId="28" customBuiltin="1"/>
    <cellStyle name="Normal" xfId="0" builtinId="0"/>
    <cellStyle name="Normal 2" xfId="1" xr:uid="{AF046990-C19D-4AA1-BC19-0B43B1861848}"/>
    <cellStyle name="Normal 2 2" xfId="45" xr:uid="{6C9FE15F-23D6-452F-81E7-CC74DE080CA4}"/>
    <cellStyle name="Note" xfId="17" builtinId="10" customBuiltin="1"/>
    <cellStyle name="Output" xfId="12" builtinId="21" customBuiltin="1"/>
    <cellStyle name="Title" xfId="6" builtinId="15" customBuiltin="1"/>
    <cellStyle name="Total" xfId="19" builtinId="25" customBuiltin="1"/>
    <cellStyle name="Warning Text" xfId="16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AFADB"/>
      <color rgb="FF9900CC"/>
      <color rgb="FF0BA50B"/>
      <color rgb="FFE9EBEB"/>
      <color rgb="FFFFCC0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MiREACH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Dashboard!$A$7:$A$12</c:f>
              <c:strCache>
                <c:ptCount val="6"/>
                <c:pt idx="0">
                  <c:v>Total participants served 
</c:v>
                </c:pt>
                <c:pt idx="1">
                  <c:v>Total enrolled in education/training
</c:v>
                </c:pt>
                <c:pt idx="2">
                  <c:v>Total who complete education/training
</c:v>
                </c:pt>
                <c:pt idx="3">
                  <c:v>Total who complete education/training and receive a credential. 
</c:v>
                </c:pt>
                <c:pt idx="4">
                  <c:v>Unemployed/underemployed complete training, obtain employment.</c:v>
                </c:pt>
                <c:pt idx="5">
                  <c:v>Incumbent workers who complete training and advance into new position. 
</c:v>
                </c:pt>
              </c:strCache>
            </c:strRef>
          </c:cat>
          <c:val>
            <c:numRef>
              <c:f>Dashboard!$B$7:$B$12</c:f>
              <c:numCache>
                <c:formatCode>0%</c:formatCode>
                <c:ptCount val="6"/>
                <c:pt idx="0">
                  <c:v>1.25</c:v>
                </c:pt>
                <c:pt idx="1">
                  <c:v>1.0994623655913978</c:v>
                </c:pt>
                <c:pt idx="2">
                  <c:v>0.57565789473684215</c:v>
                </c:pt>
                <c:pt idx="3">
                  <c:v>0.44217687074829931</c:v>
                </c:pt>
                <c:pt idx="4">
                  <c:v>0.48275862068965519</c:v>
                </c:pt>
                <c:pt idx="5">
                  <c:v>0.20967741935483872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B83-B584-E31DF42B3FEA}"/>
            </c:ext>
          </c:extLst>
        </c:ser>
        <c:ser>
          <c:idx val="1"/>
          <c:order val="1"/>
          <c:tx>
            <c:strRef>
              <c:f>Dashboard!$C$6</c:f>
              <c:strCache>
                <c:ptCount val="1"/>
                <c:pt idx="0">
                  <c:v>Partner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Dashboard!$A$7:$A$12</c:f>
              <c:strCache>
                <c:ptCount val="6"/>
                <c:pt idx="0">
                  <c:v>Total participants served 
</c:v>
                </c:pt>
                <c:pt idx="1">
                  <c:v>Total enrolled in education/training
</c:v>
                </c:pt>
                <c:pt idx="2">
                  <c:v>Total who complete education/training
</c:v>
                </c:pt>
                <c:pt idx="3">
                  <c:v>Total who complete education/training and receive a credential. 
</c:v>
                </c:pt>
                <c:pt idx="4">
                  <c:v>Unemployed/underemployed complete training, obtain employment.</c:v>
                </c:pt>
                <c:pt idx="5">
                  <c:v>Incumbent workers who complete training and advance into new position. 
</c:v>
                </c:pt>
              </c:strCache>
            </c:strRef>
          </c:cat>
          <c:val>
            <c:numRef>
              <c:f>Dashboard!$C$7:$C$12</c:f>
              <c:numCache>
                <c:formatCode>0%</c:formatCode>
                <c:ptCount val="6"/>
                <c:pt idx="0">
                  <c:v>0.64827586206896548</c:v>
                </c:pt>
                <c:pt idx="1">
                  <c:v>0.34193548387096773</c:v>
                </c:pt>
                <c:pt idx="2">
                  <c:v>0.22580645161290322</c:v>
                </c:pt>
                <c:pt idx="3">
                  <c:v>0.16129032258064516</c:v>
                </c:pt>
                <c:pt idx="4">
                  <c:v>7.1428571428571425E-2</c:v>
                </c:pt>
                <c:pt idx="5">
                  <c:v>1.9607843137254902E-2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4-4B83-B584-E31DF42B3FEA}"/>
            </c:ext>
          </c:extLst>
        </c:ser>
        <c:ser>
          <c:idx val="2"/>
          <c:order val="2"/>
          <c:tx>
            <c:strRef>
              <c:f>Dashboard!$D$6</c:f>
              <c:strCache>
                <c:ptCount val="1"/>
                <c:pt idx="0">
                  <c:v>Partner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Dashboard!$A$7:$A$12</c:f>
              <c:strCache>
                <c:ptCount val="6"/>
                <c:pt idx="0">
                  <c:v>Total participants served 
</c:v>
                </c:pt>
                <c:pt idx="1">
                  <c:v>Total enrolled in education/training
</c:v>
                </c:pt>
                <c:pt idx="2">
                  <c:v>Total who complete education/training
</c:v>
                </c:pt>
                <c:pt idx="3">
                  <c:v>Total who complete education/training and receive a credential. 
</c:v>
                </c:pt>
                <c:pt idx="4">
                  <c:v>Unemployed/underemployed complete training, obtain employment.</c:v>
                </c:pt>
                <c:pt idx="5">
                  <c:v>Incumbent workers who complete training and advance into new position. 
</c:v>
                </c:pt>
              </c:strCache>
            </c:strRef>
          </c:cat>
          <c:val>
            <c:numRef>
              <c:f>Dashboard!$D$7:$D$12</c:f>
              <c:numCache>
                <c:formatCode>0%</c:formatCode>
                <c:ptCount val="6"/>
                <c:pt idx="0">
                  <c:v>1.8470588235294119</c:v>
                </c:pt>
                <c:pt idx="1">
                  <c:v>1.9624999999999999</c:v>
                </c:pt>
                <c:pt idx="2">
                  <c:v>1.2769230769230768</c:v>
                </c:pt>
                <c:pt idx="3">
                  <c:v>1.2615384615384615</c:v>
                </c:pt>
                <c:pt idx="4">
                  <c:v>1.2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4-4B83-B584-E31DF42B3FEA}"/>
            </c:ext>
          </c:extLst>
        </c:ser>
        <c:ser>
          <c:idx val="3"/>
          <c:order val="3"/>
          <c:tx>
            <c:strRef>
              <c:f>Dashboard!$E$6</c:f>
              <c:strCache>
                <c:ptCount val="1"/>
                <c:pt idx="0">
                  <c:v>Partner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Dashboard!$A$7:$A$12</c:f>
              <c:strCache>
                <c:ptCount val="6"/>
                <c:pt idx="0">
                  <c:v>Total participants served 
</c:v>
                </c:pt>
                <c:pt idx="1">
                  <c:v>Total enrolled in education/training
</c:v>
                </c:pt>
                <c:pt idx="2">
                  <c:v>Total who complete education/training
</c:v>
                </c:pt>
                <c:pt idx="3">
                  <c:v>Total who complete education/training and receive a credential. 
</c:v>
                </c:pt>
                <c:pt idx="4">
                  <c:v>Unemployed/underemployed complete training, obtain employment.</c:v>
                </c:pt>
                <c:pt idx="5">
                  <c:v>Incumbent workers who complete training and advance into new position. 
</c:v>
                </c:pt>
              </c:strCache>
            </c:strRef>
          </c:cat>
          <c:val>
            <c:numRef>
              <c:f>Dashboard!$E$7:$E$12</c:f>
              <c:numCache>
                <c:formatCode>0%</c:formatCode>
                <c:ptCount val="6"/>
                <c:pt idx="0">
                  <c:v>1.3</c:v>
                </c:pt>
                <c:pt idx="1">
                  <c:v>1.375</c:v>
                </c:pt>
                <c:pt idx="2">
                  <c:v>0.13333333333333333</c:v>
                </c:pt>
                <c:pt idx="3">
                  <c:v>0.2</c:v>
                </c:pt>
                <c:pt idx="4">
                  <c:v>0</c:v>
                </c:pt>
                <c:pt idx="5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4-4B83-B584-E31DF42B3FEA}"/>
            </c:ext>
          </c:extLst>
        </c:ser>
        <c:ser>
          <c:idx val="4"/>
          <c:order val="4"/>
          <c:tx>
            <c:strRef>
              <c:f>Dashboard!$F$6</c:f>
              <c:strCache>
                <c:ptCount val="1"/>
                <c:pt idx="0">
                  <c:v>Partner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Dashboard!$A$7:$A$12</c:f>
              <c:strCache>
                <c:ptCount val="6"/>
                <c:pt idx="0">
                  <c:v>Total participants served 
</c:v>
                </c:pt>
                <c:pt idx="1">
                  <c:v>Total enrolled in education/training
</c:v>
                </c:pt>
                <c:pt idx="2">
                  <c:v>Total who complete education/training
</c:v>
                </c:pt>
                <c:pt idx="3">
                  <c:v>Total who complete education/training and receive a credential. 
</c:v>
                </c:pt>
                <c:pt idx="4">
                  <c:v>Unemployed/underemployed complete training, obtain employment.</c:v>
                </c:pt>
                <c:pt idx="5">
                  <c:v>Incumbent workers who complete training and advance into new position. 
</c:v>
                </c:pt>
              </c:strCache>
            </c:strRef>
          </c:cat>
          <c:val>
            <c:numRef>
              <c:f>Dashboard!$F$7:$F$12</c:f>
              <c:numCache>
                <c:formatCode>0%</c:formatCode>
                <c:ptCount val="6"/>
                <c:pt idx="0">
                  <c:v>1.59</c:v>
                </c:pt>
                <c:pt idx="1">
                  <c:v>1.4845360824742269</c:v>
                </c:pt>
                <c:pt idx="2">
                  <c:v>0.70588235294117652</c:v>
                </c:pt>
                <c:pt idx="3">
                  <c:v>0.28235294117647058</c:v>
                </c:pt>
                <c:pt idx="4">
                  <c:v>0.55932203389830504</c:v>
                </c:pt>
                <c:pt idx="5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4-4B83-B584-E31DF42B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3739160"/>
        <c:axId val="953732320"/>
      </c:barChart>
      <c:catAx>
        <c:axId val="953739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32320"/>
        <c:crosses val="autoZero"/>
        <c:auto val="1"/>
        <c:lblAlgn val="ctr"/>
        <c:lblOffset val="100"/>
        <c:noMultiLvlLbl val="0"/>
      </c:catAx>
      <c:valAx>
        <c:axId val="953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3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Metrics: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83-46A2-93A7-4F5931ABD1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83-46A2-93A7-4F5931ABD1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83-46A2-93A7-4F5931ABD1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83-46A2-93A7-4F5931ABD1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83-46A2-93A7-4F5931ABD1DB}"/>
              </c:ext>
            </c:extLst>
          </c:dPt>
          <c:cat>
            <c:strRef>
              <c:f>'Partner 3 Data'!$A$45:$A$50</c:f>
              <c:strCache>
                <c:ptCount val="6"/>
                <c:pt idx="0">
                  <c:v>Metric 1</c:v>
                </c:pt>
                <c:pt idx="1">
                  <c:v>Metric 2</c:v>
                </c:pt>
                <c:pt idx="2">
                  <c:v>Metric 3</c:v>
                </c:pt>
                <c:pt idx="3">
                  <c:v>Metric 4</c:v>
                </c:pt>
                <c:pt idx="4">
                  <c:v>Metric 5</c:v>
                </c:pt>
                <c:pt idx="5">
                  <c:v>Metric 6</c:v>
                </c:pt>
              </c:strCache>
            </c:strRef>
          </c:cat>
          <c:val>
            <c:numRef>
              <c:f>'Partner 3 Data'!$C$45:$C$50</c:f>
              <c:numCache>
                <c:formatCode>General</c:formatCode>
                <c:ptCount val="6"/>
                <c:pt idx="0">
                  <c:v>94</c:v>
                </c:pt>
                <c:pt idx="1">
                  <c:v>53</c:v>
                </c:pt>
                <c:pt idx="2">
                  <c:v>28</c:v>
                </c:pt>
                <c:pt idx="3">
                  <c:v>20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3-46A2-93A7-4F5931AB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27096"/>
        <c:axId val="656983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'Partner 3 Data'!$A$45:$A$50</c15:sqref>
                        </c15:formulaRef>
                      </c:ext>
                    </c:extLst>
                    <c:strCache>
                      <c:ptCount val="6"/>
                      <c:pt idx="0">
                        <c:v>Metric 1</c:v>
                      </c:pt>
                      <c:pt idx="1">
                        <c:v>Metric 2</c:v>
                      </c:pt>
                      <c:pt idx="2">
                        <c:v>Metric 3</c:v>
                      </c:pt>
                      <c:pt idx="3">
                        <c:v>Metric 4</c:v>
                      </c:pt>
                      <c:pt idx="4">
                        <c:v>Metric 5</c:v>
                      </c:pt>
                      <c:pt idx="5">
                        <c:v>Metric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'Partner 3 Data'!$B$45:$B$50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83-46A2-93A7-4F5931ABD1DB}"/>
                  </c:ext>
                </c:extLst>
              </c15:ser>
            </c15:filteredBarSeries>
          </c:ext>
        </c:extLst>
      </c:barChart>
      <c:catAx>
        <c:axId val="95272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3176"/>
        <c:crosses val="autoZero"/>
        <c:auto val="1"/>
        <c:lblAlgn val="ctr"/>
        <c:lblOffset val="100"/>
        <c:noMultiLvlLbl val="0"/>
      </c:catAx>
      <c:valAx>
        <c:axId val="6569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2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4C97-AA9C-A58D1F80F8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4C97-AA9C-A58D1F80F8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1-4C97-AA9C-A58D1F80F8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1-4C97-AA9C-A58D1F80F8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11-4C97-AA9C-A58D1F80F8AB}"/>
              </c:ext>
            </c:extLst>
          </c:dPt>
          <c:cat>
            <c:strRef>
              <c:f>'Partner 4 Data'!$A$45:$A$50</c:f>
              <c:strCache>
                <c:ptCount val="6"/>
                <c:pt idx="0">
                  <c:v>Metric 1</c:v>
                </c:pt>
                <c:pt idx="1">
                  <c:v>Metric 2</c:v>
                </c:pt>
                <c:pt idx="2">
                  <c:v>Metric 3</c:v>
                </c:pt>
                <c:pt idx="3">
                  <c:v>Metric 4</c:v>
                </c:pt>
                <c:pt idx="4">
                  <c:v>Metric 5</c:v>
                </c:pt>
                <c:pt idx="5">
                  <c:v>Metric 6</c:v>
                </c:pt>
              </c:strCache>
            </c:strRef>
          </c:cat>
          <c:val>
            <c:numRef>
              <c:f>'Partner 4 Data'!$C$45:$C$50</c:f>
              <c:numCache>
                <c:formatCode>General</c:formatCode>
                <c:ptCount val="6"/>
                <c:pt idx="0">
                  <c:v>157</c:v>
                </c:pt>
                <c:pt idx="1">
                  <c:v>157</c:v>
                </c:pt>
                <c:pt idx="2">
                  <c:v>83</c:v>
                </c:pt>
                <c:pt idx="3">
                  <c:v>82</c:v>
                </c:pt>
                <c:pt idx="4">
                  <c:v>72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4C97-AA9C-A58D1F80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733800"/>
        <c:axId val="965734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'Partner 4 Data'!$A$45:$A$50</c15:sqref>
                        </c15:formulaRef>
                      </c:ext>
                    </c:extLst>
                    <c:strCache>
                      <c:ptCount val="6"/>
                      <c:pt idx="0">
                        <c:v>Metric 1</c:v>
                      </c:pt>
                      <c:pt idx="1">
                        <c:v>Metric 2</c:v>
                      </c:pt>
                      <c:pt idx="2">
                        <c:v>Metric 3</c:v>
                      </c:pt>
                      <c:pt idx="3">
                        <c:v>Metric 4</c:v>
                      </c:pt>
                      <c:pt idx="4">
                        <c:v>Metric 5</c:v>
                      </c:pt>
                      <c:pt idx="5">
                        <c:v>Metric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'Partner 4 Data'!$B$45:$B$50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11-4C97-AA9C-A58D1F80F8AB}"/>
                  </c:ext>
                </c:extLst>
              </c15:ser>
            </c15:filteredBarSeries>
          </c:ext>
        </c:extLst>
      </c:barChart>
      <c:catAx>
        <c:axId val="96573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34520"/>
        <c:crosses val="autoZero"/>
        <c:auto val="1"/>
        <c:lblAlgn val="ctr"/>
        <c:lblOffset val="100"/>
        <c:noMultiLvlLbl val="0"/>
      </c:catAx>
      <c:valAx>
        <c:axId val="965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3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Partner spending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'MARS Draw Plus'!$A$5</c:f>
              <c:strCache>
                <c:ptCount val="1"/>
                <c:pt idx="0">
                  <c:v>Partner 1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1F617F">
                    <a:shade val="30000"/>
                    <a:satMod val="115000"/>
                  </a:srgbClr>
                </a:gs>
                <a:gs pos="50000">
                  <a:srgbClr val="1F617F">
                    <a:shade val="67500"/>
                    <a:satMod val="115000"/>
                  </a:srgbClr>
                </a:gs>
                <a:gs pos="100000">
                  <a:srgbClr val="1F617F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Draw Plus'!$B$4:$P$4</c15:sqref>
                  </c15:fullRef>
                </c:ext>
              </c:extLst>
              <c:f>'MARS Draw Plus'!$B$4:$J$4</c:f>
              <c:strCache>
                <c:ptCount val="9"/>
                <c:pt idx="0">
                  <c:v>Feb-Jun 21</c:v>
                </c:pt>
                <c:pt idx="1">
                  <c:v>Jul-Sep 21</c:v>
                </c:pt>
                <c:pt idx="2">
                  <c:v>Oct-Dec 21</c:v>
                </c:pt>
                <c:pt idx="3">
                  <c:v>Jan-Mar 22</c:v>
                </c:pt>
                <c:pt idx="4">
                  <c:v>Apr-Jun 22</c:v>
                </c:pt>
                <c:pt idx="5">
                  <c:v>Jul-Sep 22</c:v>
                </c:pt>
                <c:pt idx="6">
                  <c:v>Oct-Dec 22</c:v>
                </c:pt>
                <c:pt idx="7">
                  <c:v>Jan-Mar 23</c:v>
                </c:pt>
                <c:pt idx="8">
                  <c:v>Apr-Jun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Draw Plus'!$B$5:$P$5</c15:sqref>
                  </c15:fullRef>
                </c:ext>
              </c:extLst>
              <c:f>'MARS Draw Plus'!$B$5:$J$5</c:f>
              <c:numCache>
                <c:formatCode>"$"#,##0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16576.560000000001</c:v>
                </c:pt>
                <c:pt idx="3">
                  <c:v>9159.52</c:v>
                </c:pt>
                <c:pt idx="4">
                  <c:v>1133.44</c:v>
                </c:pt>
                <c:pt idx="5">
                  <c:v>4167.6000000000004</c:v>
                </c:pt>
                <c:pt idx="6">
                  <c:v>30411.52</c:v>
                </c:pt>
                <c:pt idx="7">
                  <c:v>32190.800000000003</c:v>
                </c:pt>
                <c:pt idx="8">
                  <c:v>62303.329199999993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51-443E-813B-80B141134C51}"/>
            </c:ext>
          </c:extLst>
        </c:ser>
        <c:ser>
          <c:idx val="1"/>
          <c:order val="1"/>
          <c:tx>
            <c:strRef>
              <c:f>'MARS Draw Plus'!$A$6</c:f>
              <c:strCache>
                <c:ptCount val="1"/>
                <c:pt idx="0">
                  <c:v>Partner 2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7B934">
                    <a:shade val="30000"/>
                    <a:satMod val="115000"/>
                  </a:srgbClr>
                </a:gs>
                <a:gs pos="50000">
                  <a:srgbClr val="F7B934">
                    <a:shade val="67500"/>
                    <a:satMod val="115000"/>
                  </a:srgbClr>
                </a:gs>
                <a:gs pos="100000">
                  <a:srgbClr val="F7B934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Draw Plus'!$B$4:$P$4</c15:sqref>
                  </c15:fullRef>
                </c:ext>
              </c:extLst>
              <c:f>'MARS Draw Plus'!$B$4:$J$4</c:f>
              <c:strCache>
                <c:ptCount val="9"/>
                <c:pt idx="0">
                  <c:v>Feb-Jun 21</c:v>
                </c:pt>
                <c:pt idx="1">
                  <c:v>Jul-Sep 21</c:v>
                </c:pt>
                <c:pt idx="2">
                  <c:v>Oct-Dec 21</c:v>
                </c:pt>
                <c:pt idx="3">
                  <c:v>Jan-Mar 22</c:v>
                </c:pt>
                <c:pt idx="4">
                  <c:v>Apr-Jun 22</c:v>
                </c:pt>
                <c:pt idx="5">
                  <c:v>Jul-Sep 22</c:v>
                </c:pt>
                <c:pt idx="6">
                  <c:v>Oct-Dec 22</c:v>
                </c:pt>
                <c:pt idx="7">
                  <c:v>Jan-Mar 23</c:v>
                </c:pt>
                <c:pt idx="8">
                  <c:v>Apr-Jun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Draw Plus'!$B$6:$P$6</c15:sqref>
                  </c15:fullRef>
                </c:ext>
              </c:extLst>
              <c:f>'MARS Draw Plus'!$B$6:$J$6</c:f>
              <c:numCache>
                <c:formatCode>"$"#,##0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11500</c:v>
                </c:pt>
                <c:pt idx="3">
                  <c:v>5750</c:v>
                </c:pt>
                <c:pt idx="4">
                  <c:v>0</c:v>
                </c:pt>
                <c:pt idx="5">
                  <c:v>40250</c:v>
                </c:pt>
                <c:pt idx="6">
                  <c:v>69000</c:v>
                </c:pt>
                <c:pt idx="7">
                  <c:v>120750</c:v>
                </c:pt>
                <c:pt idx="8">
                  <c:v>51750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B51-443E-813B-80B141134C51}"/>
            </c:ext>
          </c:extLst>
        </c:ser>
        <c:ser>
          <c:idx val="2"/>
          <c:order val="2"/>
          <c:tx>
            <c:strRef>
              <c:f>'MARS Draw Plus'!$A$7</c:f>
              <c:strCache>
                <c:ptCount val="1"/>
                <c:pt idx="0">
                  <c:v>Partner 3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C35231">
                    <a:shade val="30000"/>
                    <a:satMod val="115000"/>
                  </a:srgbClr>
                </a:gs>
                <a:gs pos="50000">
                  <a:srgbClr val="C35231">
                    <a:shade val="67500"/>
                    <a:satMod val="115000"/>
                  </a:srgbClr>
                </a:gs>
                <a:gs pos="100000">
                  <a:srgbClr val="C35231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Draw Plus'!$B$4:$P$4</c15:sqref>
                  </c15:fullRef>
                </c:ext>
              </c:extLst>
              <c:f>'MARS Draw Plus'!$B$4:$J$4</c:f>
              <c:strCache>
                <c:ptCount val="9"/>
                <c:pt idx="0">
                  <c:v>Feb-Jun 21</c:v>
                </c:pt>
                <c:pt idx="1">
                  <c:v>Jul-Sep 21</c:v>
                </c:pt>
                <c:pt idx="2">
                  <c:v>Oct-Dec 21</c:v>
                </c:pt>
                <c:pt idx="3">
                  <c:v>Jan-Mar 22</c:v>
                </c:pt>
                <c:pt idx="4">
                  <c:v>Apr-Jun 22</c:v>
                </c:pt>
                <c:pt idx="5">
                  <c:v>Jul-Sep 22</c:v>
                </c:pt>
                <c:pt idx="6">
                  <c:v>Oct-Dec 22</c:v>
                </c:pt>
                <c:pt idx="7">
                  <c:v>Jan-Mar 23</c:v>
                </c:pt>
                <c:pt idx="8">
                  <c:v>Apr-Jun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Draw Plus'!$B$7:$P$7</c15:sqref>
                  </c15:fullRef>
                </c:ext>
              </c:extLst>
              <c:f>'MARS Draw Plus'!$B$7:$J$7</c:f>
              <c:numCache>
                <c:formatCode>"$"#,##0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64400</c:v>
                </c:pt>
                <c:pt idx="4">
                  <c:v>28750</c:v>
                </c:pt>
                <c:pt idx="5">
                  <c:v>58650</c:v>
                </c:pt>
                <c:pt idx="6">
                  <c:v>20700</c:v>
                </c:pt>
                <c:pt idx="7">
                  <c:v>39100</c:v>
                </c:pt>
                <c:pt idx="8">
                  <c:v>20700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B51-443E-813B-80B141134C51}"/>
            </c:ext>
          </c:extLst>
        </c:ser>
        <c:ser>
          <c:idx val="3"/>
          <c:order val="3"/>
          <c:tx>
            <c:strRef>
              <c:f>'MARS Draw Plus'!$A$8</c:f>
              <c:strCache>
                <c:ptCount val="1"/>
                <c:pt idx="0">
                  <c:v>Partner 4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B4E6FC">
                    <a:shade val="30000"/>
                    <a:satMod val="115000"/>
                  </a:srgbClr>
                </a:gs>
                <a:gs pos="50000">
                  <a:srgbClr val="B4E6FC">
                    <a:shade val="67500"/>
                    <a:satMod val="115000"/>
                  </a:srgbClr>
                </a:gs>
                <a:gs pos="100000">
                  <a:srgbClr val="B4E6FC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Draw Plus'!$B$4:$P$4</c15:sqref>
                  </c15:fullRef>
                </c:ext>
              </c:extLst>
              <c:f>'MARS Draw Plus'!$B$4:$J$4</c:f>
              <c:strCache>
                <c:ptCount val="9"/>
                <c:pt idx="0">
                  <c:v>Feb-Jun 21</c:v>
                </c:pt>
                <c:pt idx="1">
                  <c:v>Jul-Sep 21</c:v>
                </c:pt>
                <c:pt idx="2">
                  <c:v>Oct-Dec 21</c:v>
                </c:pt>
                <c:pt idx="3">
                  <c:v>Jan-Mar 22</c:v>
                </c:pt>
                <c:pt idx="4">
                  <c:v>Apr-Jun 22</c:v>
                </c:pt>
                <c:pt idx="5">
                  <c:v>Jul-Sep 22</c:v>
                </c:pt>
                <c:pt idx="6">
                  <c:v>Oct-Dec 22</c:v>
                </c:pt>
                <c:pt idx="7">
                  <c:v>Jan-Mar 23</c:v>
                </c:pt>
                <c:pt idx="8">
                  <c:v>Apr-Jun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Draw Plus'!$B$8:$P$8</c15:sqref>
                  </c15:fullRef>
                </c:ext>
              </c:extLst>
              <c:f>'MARS Draw Plus'!$B$8:$J$8</c:f>
              <c:numCache>
                <c:formatCode>"$"#,##0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21801.722999999998</c:v>
                </c:pt>
                <c:pt idx="3">
                  <c:v>25292.754999999997</c:v>
                </c:pt>
                <c:pt idx="4">
                  <c:v>33019.248500000002</c:v>
                </c:pt>
                <c:pt idx="5">
                  <c:v>26402.965</c:v>
                </c:pt>
                <c:pt idx="6">
                  <c:v>16871.339499999998</c:v>
                </c:pt>
                <c:pt idx="7">
                  <c:v>11401.973999999998</c:v>
                </c:pt>
                <c:pt idx="8">
                  <c:v>13769.168499999996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B51-443E-813B-80B141134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2592744"/>
        <c:axId val="972593072"/>
        <c:extLst/>
      </c:barChart>
      <c:lineChart>
        <c:grouping val="standard"/>
        <c:varyColors val="0"/>
        <c:ser>
          <c:idx val="4"/>
          <c:order val="4"/>
          <c:tx>
            <c:strRef>
              <c:f>'MARS Draw Plus'!$A$9</c:f>
              <c:strCache>
                <c:ptCount val="1"/>
                <c:pt idx="0">
                  <c:v>Cumulative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Draw Plus'!$B$4:$P$4</c15:sqref>
                  </c15:fullRef>
                </c:ext>
              </c:extLst>
              <c:f>'MARS Draw Plus'!$B$4:$J$4</c:f>
              <c:strCache>
                <c:ptCount val="9"/>
                <c:pt idx="0">
                  <c:v>Feb-Jun 21</c:v>
                </c:pt>
                <c:pt idx="1">
                  <c:v>Jul-Sep 21</c:v>
                </c:pt>
                <c:pt idx="2">
                  <c:v>Oct-Dec 21</c:v>
                </c:pt>
                <c:pt idx="3">
                  <c:v>Jan-Mar 22</c:v>
                </c:pt>
                <c:pt idx="4">
                  <c:v>Apr-Jun 22</c:v>
                </c:pt>
                <c:pt idx="5">
                  <c:v>Jul-Sep 22</c:v>
                </c:pt>
                <c:pt idx="6">
                  <c:v>Oct-Dec 22</c:v>
                </c:pt>
                <c:pt idx="7">
                  <c:v>Jan-Mar 23</c:v>
                </c:pt>
                <c:pt idx="8">
                  <c:v>Apr-Jun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Draw Plus'!$B$9:$P$9</c15:sqref>
                  </c15:fullRef>
                </c:ext>
              </c:extLst>
              <c:f>'MARS Draw Plus'!$B$9:$J$9</c:f>
              <c:numCache>
                <c:formatCode>"$"#,##0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49878.282999999996</c:v>
                </c:pt>
                <c:pt idx="3">
                  <c:v>104602.27499999999</c:v>
                </c:pt>
                <c:pt idx="4">
                  <c:v>62902.688500000004</c:v>
                </c:pt>
                <c:pt idx="5">
                  <c:v>129470.565</c:v>
                </c:pt>
                <c:pt idx="6">
                  <c:v>136982.85949999999</c:v>
                </c:pt>
                <c:pt idx="7">
                  <c:v>203442.77399999998</c:v>
                </c:pt>
                <c:pt idx="8">
                  <c:v>148522.49769999998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B51-443E-813B-80B141134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2592744"/>
        <c:axId val="972593072"/>
        <c:extLst/>
      </c:lineChart>
      <c:catAx>
        <c:axId val="9725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3072"/>
        <c:crosses val="autoZero"/>
        <c:auto val="1"/>
        <c:lblAlgn val="ctr"/>
        <c:lblOffset val="100"/>
        <c:noMultiLvlLbl val="0"/>
      </c:catAx>
      <c:valAx>
        <c:axId val="972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'MARS Exp Report'!$C$27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Exp Report'!$B$29:$B$32</c15:sqref>
                  </c15:fullRef>
                </c:ext>
              </c:extLst>
              <c:f>'MARS Exp Report'!$B$32</c:f>
              <c:strCache>
                <c:ptCount val="1"/>
                <c:pt idx="0">
                  <c:v>Partner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Exp Report'!$C$29:$C$32</c15:sqref>
                  </c15:fullRef>
                </c:ext>
              </c:extLst>
              <c:f>'MARS Exp Report'!$C$32</c:f>
              <c:numCache>
                <c:formatCode>"$"#,##0</c:formatCode>
                <c:ptCount val="1"/>
                <c:pt idx="0">
                  <c:v>-6841.6776250000003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'MARS Exp Report'!$C$30</c15:sqref>
                  <c15:dLbl>
                    <c:idx val="-1"/>
                    <c:layout>
                      <c:manualLayout>
                        <c:x val="-1.7801510633389287E-3"/>
                        <c:y val="2.4337241344948777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7B9-41D3-B49F-9E2F6C3418F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FFD-4644-98C7-7782BE7A1826}"/>
            </c:ext>
          </c:extLst>
        </c:ser>
        <c:ser>
          <c:idx val="1"/>
          <c:order val="1"/>
          <c:tx>
            <c:strRef>
              <c:f>'MARS Exp Report'!$D$27</c:f>
              <c:strCache>
                <c:ptCount val="1"/>
                <c:pt idx="0">
                  <c:v>Supportive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Exp Report'!$B$29:$B$32</c15:sqref>
                  </c15:fullRef>
                </c:ext>
              </c:extLst>
              <c:f>'MARS Exp Report'!$B$32</c:f>
              <c:strCache>
                <c:ptCount val="1"/>
                <c:pt idx="0">
                  <c:v>Partner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Exp Report'!$D$29:$D$32</c15:sqref>
                  </c15:fullRef>
                </c:ext>
              </c:extLst>
              <c:f>'MARS Exp Report'!$D$32</c:f>
              <c:numCache>
                <c:formatCode>"$"#,##0</c:formatCode>
                <c:ptCount val="1"/>
                <c:pt idx="0">
                  <c:v>1241.644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'MARS Exp Report'!$D$30</c15:sqref>
                  <c15:dLbl>
                    <c:idx val="-1"/>
                    <c:layout>
                      <c:manualLayout>
                        <c:x val="-1.7801510633389287E-3"/>
                        <c:y val="-4.519773392633341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7B9-41D3-B49F-9E2F6C3418F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FFD-4644-98C7-7782BE7A1826}"/>
            </c:ext>
          </c:extLst>
        </c:ser>
        <c:ser>
          <c:idx val="2"/>
          <c:order val="2"/>
          <c:tx>
            <c:strRef>
              <c:f>'MARS Exp Report'!$E$27</c:f>
              <c:strCache>
                <c:ptCount val="1"/>
                <c:pt idx="0">
                  <c:v>Educational Training Prgms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Exp Report'!$B$29:$B$32</c15:sqref>
                  </c15:fullRef>
                </c:ext>
              </c:extLst>
              <c:f>'MARS Exp Report'!$B$32</c:f>
              <c:strCache>
                <c:ptCount val="1"/>
                <c:pt idx="0">
                  <c:v>Partner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Exp Report'!$E$29:$E$32</c15:sqref>
                  </c15:fullRef>
                </c:ext>
              </c:extLst>
              <c:f>'MARS Exp Report'!$E$32</c:f>
              <c:numCache>
                <c:formatCode>"$"#,##0</c:formatCode>
                <c:ptCount val="1"/>
                <c:pt idx="0">
                  <c:v>47549.692300000002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D-4644-98C7-7782BE7A1826}"/>
            </c:ext>
          </c:extLst>
        </c:ser>
        <c:ser>
          <c:idx val="3"/>
          <c:order val="3"/>
          <c:tx>
            <c:strRef>
              <c:f>'MARS Exp Report'!$F$27</c:f>
              <c:strCache>
                <c:ptCount val="1"/>
                <c:pt idx="0">
                  <c:v>Program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Exp Report'!$B$29:$B$32</c15:sqref>
                  </c15:fullRef>
                </c:ext>
              </c:extLst>
              <c:f>'MARS Exp Report'!$B$32</c:f>
              <c:strCache>
                <c:ptCount val="1"/>
                <c:pt idx="0">
                  <c:v>Partner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Exp Report'!$F$29:$F$32</c15:sqref>
                  </c15:fullRef>
                </c:ext>
              </c:extLst>
              <c:f>'MARS Exp Report'!$F$32</c:f>
              <c:numCache>
                <c:formatCode>"$"#,##0</c:formatCode>
                <c:ptCount val="1"/>
                <c:pt idx="0">
                  <c:v>88259.729800000001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D-4644-98C7-7782BE7A1826}"/>
            </c:ext>
          </c:extLst>
        </c:ser>
        <c:ser>
          <c:idx val="4"/>
          <c:order val="4"/>
          <c:tx>
            <c:strRef>
              <c:f>'MARS Exp Report'!$G$27</c:f>
              <c:strCache>
                <c:ptCount val="1"/>
                <c:pt idx="0">
                  <c:v>Other Contractual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Exp Report'!$B$29:$B$32</c15:sqref>
                  </c15:fullRef>
                </c:ext>
              </c:extLst>
              <c:f>'MARS Exp Report'!$B$32</c:f>
              <c:strCache>
                <c:ptCount val="1"/>
                <c:pt idx="0">
                  <c:v>Partner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Exp Report'!$G$29:$G$32</c15:sqref>
                  </c15:fullRef>
                </c:ext>
              </c:extLst>
              <c:f>'MARS Exp Report'!$G$32</c:f>
              <c:numCache>
                <c:formatCode>"$"#,##0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D-4644-98C7-7782BE7A18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1071872"/>
        <c:axId val="771072200"/>
      </c:barChart>
      <c:catAx>
        <c:axId val="7710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72200"/>
        <c:crosses val="autoZero"/>
        <c:auto val="1"/>
        <c:lblAlgn val="ctr"/>
        <c:lblOffset val="100"/>
        <c:noMultiLvlLbl val="0"/>
      </c:catAx>
      <c:valAx>
        <c:axId val="77107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7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'MARS Exp Report'!$B$28</c:f>
              <c:strCache>
                <c:ptCount val="1"/>
                <c:pt idx="0">
                  <c:v>Program Total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4269-4491-BBD3-EAE75EBC61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D-4269-4491-BBD3-EAE75EBC61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4269-4491-BBD3-EAE75EBC61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4269-4491-BBD3-EAE75EBC61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4269-4491-BBD3-EAE75EBC6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'MARS Exp Report'!$C$27:$G$27</c:f>
              <c:strCache>
                <c:ptCount val="5"/>
                <c:pt idx="0">
                  <c:v>Administration</c:v>
                </c:pt>
                <c:pt idx="1">
                  <c:v>Supportive Services</c:v>
                </c:pt>
                <c:pt idx="2">
                  <c:v>Educational Training Prgms</c:v>
                </c:pt>
                <c:pt idx="3">
                  <c:v>Program</c:v>
                </c:pt>
                <c:pt idx="4">
                  <c:v>Other Contractual</c:v>
                </c:pt>
              </c:strCache>
              <c:extLst xmlns:c15="http://schemas.microsoft.com/office/drawing/2012/chart"/>
            </c:strRef>
          </c:cat>
          <c:val>
            <c:numRef>
              <c:f>'MARS Exp Report'!$C$28:$G$28</c:f>
              <c:numCache>
                <c:formatCode>"$"#,##0</c:formatCode>
                <c:ptCount val="5"/>
                <c:pt idx="0">
                  <c:v>8144.1283749999984</c:v>
                </c:pt>
                <c:pt idx="1">
                  <c:v>20700.307850000001</c:v>
                </c:pt>
                <c:pt idx="2">
                  <c:v>93351.509950000007</c:v>
                </c:pt>
                <c:pt idx="3">
                  <c:v>159840.10564999998</c:v>
                </c:pt>
                <c:pt idx="4">
                  <c:v>4059.4240499999996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EC2-43F5-8683-2FED9E9B83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'MARS Exp Report'!$B$29</c15:sqref>
                        </c15:formulaRef>
                      </c:ext>
                    </c:extLst>
                    <c:strCache>
                      <c:ptCount val="1"/>
                      <c:pt idx="0">
                        <c:v>Partner 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4269-4491-BBD3-EAE75EBC61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4269-4491-BBD3-EAE75EBC61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4269-4491-BBD3-EAE75EBC61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4269-4491-BBD3-EAE75EBC61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269-4491-BBD3-EAE75EBC61A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'MARS Exp Report'!$C$27:$G$27</c15:sqref>
                        </c15:formulaRef>
                      </c:ext>
                    </c:extLst>
                    <c:strCache>
                      <c:ptCount val="5"/>
                      <c:pt idx="0">
                        <c:v>Administration</c:v>
                      </c:pt>
                      <c:pt idx="1">
                        <c:v>Supportive Services</c:v>
                      </c:pt>
                      <c:pt idx="2">
                        <c:v>Educational Training Prgms</c:v>
                      </c:pt>
                      <c:pt idx="3">
                        <c:v>Program</c:v>
                      </c:pt>
                      <c:pt idx="4">
                        <c:v>Other Contractual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'MARS Exp Report'!$C$29:$G$29</c15:sqref>
                        </c15:formulaRef>
                      </c:ext>
                    </c:extLst>
                    <c:numCache>
                      <c:formatCode>"$"#,##0</c:formatCode>
                      <c:ptCount val="5"/>
                      <c:pt idx="0">
                        <c:v>3541.2109249999999</c:v>
                      </c:pt>
                      <c:pt idx="1">
                        <c:v>322.7792</c:v>
                      </c:pt>
                      <c:pt idx="2">
                        <c:v>32137.039100000005</c:v>
                      </c:pt>
                      <c:pt idx="3">
                        <c:v>58671.960300000006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C2-43F5-8683-2FED9E9B838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Report'!$B$30</c15:sqref>
                        </c15:formulaRef>
                      </c:ext>
                    </c:extLst>
                    <c:strCache>
                      <c:ptCount val="1"/>
                      <c:pt idx="0">
                        <c:v>Partner 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269-4491-BBD3-EAE75EBC61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269-4491-BBD3-EAE75EBC61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269-4491-BBD3-EAE75EBC61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269-4491-BBD3-EAE75EBC61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269-4491-BBD3-EAE75EBC61A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Report'!$C$27:$G$27</c15:sqref>
                        </c15:formulaRef>
                      </c:ext>
                    </c:extLst>
                    <c:strCache>
                      <c:ptCount val="5"/>
                      <c:pt idx="0">
                        <c:v>Administration</c:v>
                      </c:pt>
                      <c:pt idx="1">
                        <c:v>Supportive Services</c:v>
                      </c:pt>
                      <c:pt idx="2">
                        <c:v>Educational Training Prgms</c:v>
                      </c:pt>
                      <c:pt idx="3">
                        <c:v>Program</c:v>
                      </c:pt>
                      <c:pt idx="4">
                        <c:v>Other Contractual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Report'!$C$30:$G$30</c15:sqref>
                        </c15:formulaRef>
                      </c:ext>
                    </c:extLst>
                    <c:numCache>
                      <c:formatCode>"$"#,##0</c:formatCode>
                      <c:ptCount val="5"/>
                      <c:pt idx="0">
                        <c:v>4059.4240499999996</c:v>
                      </c:pt>
                      <c:pt idx="1">
                        <c:v>4059.4240499999996</c:v>
                      </c:pt>
                      <c:pt idx="2">
                        <c:v>4059.4240499999996</c:v>
                      </c:pt>
                      <c:pt idx="3">
                        <c:v>4059.4240499999996</c:v>
                      </c:pt>
                      <c:pt idx="4">
                        <c:v>4059.4240499999996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C2-43F5-8683-2FED9E9B838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Report'!$B$31</c15:sqref>
                        </c15:formulaRef>
                      </c:ext>
                    </c:extLst>
                    <c:strCache>
                      <c:ptCount val="1"/>
                      <c:pt idx="0">
                        <c:v>Partner 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269-4491-BBD3-EAE75EBC61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269-4491-BBD3-EAE75EBC61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269-4491-BBD3-EAE75EBC61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269-4491-BBD3-EAE75EBC61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269-4491-BBD3-EAE75EBC61A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Report'!$C$27:$G$27</c15:sqref>
                        </c15:formulaRef>
                      </c:ext>
                    </c:extLst>
                    <c:strCache>
                      <c:ptCount val="5"/>
                      <c:pt idx="0">
                        <c:v>Administration</c:v>
                      </c:pt>
                      <c:pt idx="1">
                        <c:v>Supportive Services</c:v>
                      </c:pt>
                      <c:pt idx="2">
                        <c:v>Educational Training Prgms</c:v>
                      </c:pt>
                      <c:pt idx="3">
                        <c:v>Program</c:v>
                      </c:pt>
                      <c:pt idx="4">
                        <c:v>Other Contractual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Report'!$C$31:$G$31</c15:sqref>
                        </c15:formulaRef>
                      </c:ext>
                    </c:extLst>
                    <c:numCache>
                      <c:formatCode>"$"#,##0</c:formatCode>
                      <c:ptCount val="5"/>
                      <c:pt idx="0">
                        <c:v>7385.1710249999996</c:v>
                      </c:pt>
                      <c:pt idx="1">
                        <c:v>15076.4606</c:v>
                      </c:pt>
                      <c:pt idx="2">
                        <c:v>9605.3545000000013</c:v>
                      </c:pt>
                      <c:pt idx="3">
                        <c:v>8848.9914999999946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C2-43F5-8683-2FED9E9B838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Report'!$B$32</c15:sqref>
                        </c15:formulaRef>
                      </c:ext>
                    </c:extLst>
                    <c:strCache>
                      <c:ptCount val="1"/>
                      <c:pt idx="0">
                        <c:v>Partner 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269-4491-BBD3-EAE75EBC61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269-4491-BBD3-EAE75EBC61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269-4491-BBD3-EAE75EBC61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269-4491-BBD3-EAE75EBC61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269-4491-BBD3-EAE75EBC61A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Report'!$C$27:$G$27</c15:sqref>
                        </c15:formulaRef>
                      </c:ext>
                    </c:extLst>
                    <c:strCache>
                      <c:ptCount val="5"/>
                      <c:pt idx="0">
                        <c:v>Administration</c:v>
                      </c:pt>
                      <c:pt idx="1">
                        <c:v>Supportive Services</c:v>
                      </c:pt>
                      <c:pt idx="2">
                        <c:v>Educational Training Prgms</c:v>
                      </c:pt>
                      <c:pt idx="3">
                        <c:v>Program</c:v>
                      </c:pt>
                      <c:pt idx="4">
                        <c:v>Other Contractual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'MARS Exp Report'!$C$32:$G$32</c15:sqref>
                        </c15:formulaRef>
                      </c:ext>
                    </c:extLst>
                    <c:numCache>
                      <c:formatCode>"$"#,##0</c:formatCode>
                      <c:ptCount val="5"/>
                      <c:pt idx="0">
                        <c:v>-6841.6776250000003</c:v>
                      </c:pt>
                      <c:pt idx="1">
                        <c:v>1241.644</c:v>
                      </c:pt>
                      <c:pt idx="2">
                        <c:v>47549.692300000002</c:v>
                      </c:pt>
                      <c:pt idx="3">
                        <c:v>88259.729800000001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C2-43F5-8683-2FED9E9B838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Certifications from MiREACH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33-4A29-BC3B-4E8A0C634D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33-4A29-BC3B-4E8A0C634D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33-4A29-BC3B-4E8A0C634D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33-4A29-BC3B-4E8A0C634D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33-4A29-BC3B-4E8A0C634DC8}"/>
              </c:ext>
            </c:extLst>
          </c:dPt>
          <c:dLbls>
            <c:dLbl>
              <c:idx val="0"/>
              <c:layout>
                <c:manualLayout>
                  <c:x val="-9.0543691935647402E-2"/>
                  <c:y val="0.141351584684016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33-4A29-BC3B-4E8A0C634DC8}"/>
                </c:ext>
              </c:extLst>
            </c:dLbl>
            <c:dLbl>
              <c:idx val="1"/>
              <c:layout>
                <c:manualLayout>
                  <c:x val="-9.0869813270944025E-2"/>
                  <c:y val="-0.191394371184131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33-4A29-BC3B-4E8A0C634DC8}"/>
                </c:ext>
              </c:extLst>
            </c:dLbl>
            <c:dLbl>
              <c:idx val="2"/>
              <c:layout>
                <c:manualLayout>
                  <c:x val="7.7866008774252871E-2"/>
                  <c:y val="-9.37584915842659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33-4A29-BC3B-4E8A0C634DC8}"/>
                </c:ext>
              </c:extLst>
            </c:dLbl>
            <c:dLbl>
              <c:idx val="3"/>
              <c:layout>
                <c:manualLayout>
                  <c:x val="0.12462185815008241"/>
                  <c:y val="-3.0973815675377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33-4A29-BC3B-4E8A0C634DC8}"/>
                </c:ext>
              </c:extLst>
            </c:dLbl>
            <c:dLbl>
              <c:idx val="4"/>
              <c:layout>
                <c:manualLayout>
                  <c:x val="0.10547906543159245"/>
                  <c:y val="0.153205123738811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33-4A29-BC3B-4E8A0C634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'Training APEX Query'!$N$28:$R$28</c:f>
              <c:strCache>
                <c:ptCount val="5"/>
                <c:pt idx="0">
                  <c:v>Nursing Assistants</c:v>
                </c:pt>
                <c:pt idx="1">
                  <c:v>Registered Nurse</c:v>
                </c:pt>
                <c:pt idx="2">
                  <c:v>Phlebotamist</c:v>
                </c:pt>
                <c:pt idx="3">
                  <c:v>Medical Assistant</c:v>
                </c:pt>
                <c:pt idx="4">
                  <c:v>Other</c:v>
                </c:pt>
              </c:strCache>
            </c:strRef>
          </c:cat>
          <c:val>
            <c:numRef>
              <c:f>'Training APEX Query'!$N$29:$R$29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109-9573-66A76955F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Dashboard!$A$13</c:f>
              <c:strCache>
                <c:ptCount val="1"/>
                <c:pt idx="0">
                  <c:v>Total spending divided by participants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Dashboard!$B$6:$F$6</c:f>
              <c:strCache>
                <c:ptCount val="5"/>
                <c:pt idx="0">
                  <c:v>MiREACH</c:v>
                </c:pt>
                <c:pt idx="1">
                  <c:v>Partner 1</c:v>
                </c:pt>
                <c:pt idx="2">
                  <c:v>Partner 2</c:v>
                </c:pt>
                <c:pt idx="3">
                  <c:v>Partner 3</c:v>
                </c:pt>
                <c:pt idx="4">
                  <c:v>Partner 4</c:v>
                </c:pt>
              </c:strCache>
            </c:strRef>
          </c:cat>
          <c:val>
            <c:numRef>
              <c:f>Dashboard!$B$13:$F$13</c:f>
              <c:numCache>
                <c:formatCode>"$"#,##0.00</c:formatCode>
                <c:ptCount val="5"/>
                <c:pt idx="0">
                  <c:v>2221.9870736842108</c:v>
                </c:pt>
                <c:pt idx="1">
                  <c:v>2860.1604255319153</c:v>
                </c:pt>
                <c:pt idx="2">
                  <c:v>892.91082802547771</c:v>
                </c:pt>
                <c:pt idx="3">
                  <c:v>4109.2281538461539</c:v>
                </c:pt>
                <c:pt idx="4">
                  <c:v>1127.6852201257861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FCC-B9D4-15C18BCB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79600"/>
        <c:axId val="650677080"/>
      </c:barChart>
      <c:catAx>
        <c:axId val="6506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77080"/>
        <c:crosses val="autoZero"/>
        <c:auto val="1"/>
        <c:lblAlgn val="ctr"/>
        <c:lblOffset val="100"/>
        <c:noMultiLvlLbl val="0"/>
      </c:catAx>
      <c:valAx>
        <c:axId val="650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Dashboard!$A$14</c:f>
              <c:strCache>
                <c:ptCount val="1"/>
                <c:pt idx="0">
                  <c:v>Total spending divided by completers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Dashboard!$B$6:$F$6</c:f>
              <c:strCache>
                <c:ptCount val="5"/>
                <c:pt idx="0">
                  <c:v>MiREACH</c:v>
                </c:pt>
                <c:pt idx="1">
                  <c:v>Partner 1</c:v>
                </c:pt>
                <c:pt idx="2">
                  <c:v>Partner 2</c:v>
                </c:pt>
                <c:pt idx="3">
                  <c:v>Partner 3</c:v>
                </c:pt>
                <c:pt idx="4">
                  <c:v>Partner 4</c:v>
                </c:pt>
              </c:strCache>
            </c:strRef>
          </c:cat>
          <c:val>
            <c:numRef>
              <c:f>Dashboard!$B$14:$F$14</c:f>
              <c:numCache>
                <c:formatCode>"$"#,##0.00</c:formatCode>
                <c:ptCount val="5"/>
                <c:pt idx="0">
                  <c:v>6989.6944370860938</c:v>
                </c:pt>
                <c:pt idx="1">
                  <c:v>33606.885000000002</c:v>
                </c:pt>
                <c:pt idx="2">
                  <c:v>1630.0813953488373</c:v>
                </c:pt>
                <c:pt idx="3">
                  <c:v>267099.83</c:v>
                </c:pt>
                <c:pt idx="4">
                  <c:v>3201.8205357142861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E-4F2A-8097-377BDD31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27960"/>
        <c:axId val="954029040"/>
      </c:barChart>
      <c:catAx>
        <c:axId val="9540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040"/>
        <c:crosses val="autoZero"/>
        <c:auto val="1"/>
        <c:lblAlgn val="ctr"/>
        <c:lblOffset val="100"/>
        <c:noMultiLvlLbl val="0"/>
      </c:catAx>
      <c:valAx>
        <c:axId val="954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Dashboard!$A$15</c:f>
              <c:strCache>
                <c:ptCount val="1"/>
                <c:pt idx="0">
                  <c:v>Percent of budget expended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Dashboard!$B$6:$G$6</c:f>
              <c:strCache>
                <c:ptCount val="6"/>
                <c:pt idx="0">
                  <c:v>MiREACH</c:v>
                </c:pt>
                <c:pt idx="1">
                  <c:v>Partner 1</c:v>
                </c:pt>
                <c:pt idx="2">
                  <c:v>Partner 2</c:v>
                </c:pt>
                <c:pt idx="3">
                  <c:v>Partner 3</c:v>
                </c:pt>
                <c:pt idx="4">
                  <c:v>Partner 4</c:v>
                </c:pt>
                <c:pt idx="5">
                  <c:v>State of Michigan</c:v>
                </c:pt>
              </c:strCache>
            </c:strRef>
          </c:cat>
          <c:val>
            <c:numRef>
              <c:f>Dashboard!$B$15:$G$15</c:f>
              <c:numCache>
                <c:formatCode>0%</c:formatCode>
                <c:ptCount val="6"/>
                <c:pt idx="0">
                  <c:v>0.42217754400000002</c:v>
                </c:pt>
                <c:pt idx="1">
                  <c:v>0.67196970757310681</c:v>
                </c:pt>
                <c:pt idx="2">
                  <c:v>0.36891315789473683</c:v>
                </c:pt>
                <c:pt idx="3">
                  <c:v>1.1129159583333335</c:v>
                </c:pt>
                <c:pt idx="4">
                  <c:v>0.44825487500000005</c:v>
                </c:pt>
                <c:pt idx="5">
                  <c:v>0.18520233354940271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332-AAFA-A4BDF1A9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4027240"/>
        <c:axId val="954027600"/>
      </c:barChart>
      <c:catAx>
        <c:axId val="95402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7600"/>
        <c:crosses val="autoZero"/>
        <c:auto val="1"/>
        <c:lblAlgn val="ctr"/>
        <c:lblOffset val="100"/>
        <c:noMultiLvlLbl val="0"/>
      </c:catAx>
      <c:valAx>
        <c:axId val="954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 Goal</a:t>
            </a:r>
            <a:r>
              <a:rPr lang="en-US" baseline="0"/>
              <a:t> to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Performance!$N$20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Performance!$N$21:$N$26</c:f>
              <c:numCache>
                <c:formatCode>General</c:formatCode>
                <c:ptCount val="6"/>
                <c:pt idx="0">
                  <c:v>380</c:v>
                </c:pt>
                <c:pt idx="1">
                  <c:v>372</c:v>
                </c:pt>
                <c:pt idx="2">
                  <c:v>304</c:v>
                </c:pt>
                <c:pt idx="3">
                  <c:v>294</c:v>
                </c:pt>
                <c:pt idx="4">
                  <c:v>232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C-4CC1-B53D-756970ED1101}"/>
            </c:ext>
          </c:extLst>
        </c:ser>
        <c:ser>
          <c:idx val="1"/>
          <c:order val="1"/>
          <c:tx>
            <c:strRef>
              <c:f>Performance!$O$20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Performance!$O$21:$O$26</c:f>
              <c:numCache>
                <c:formatCode>General</c:formatCode>
                <c:ptCount val="6"/>
                <c:pt idx="0">
                  <c:v>475</c:v>
                </c:pt>
                <c:pt idx="1">
                  <c:v>409</c:v>
                </c:pt>
                <c:pt idx="2">
                  <c:v>175</c:v>
                </c:pt>
                <c:pt idx="3">
                  <c:v>130</c:v>
                </c:pt>
                <c:pt idx="4">
                  <c:v>112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C-4CC1-B53D-756970ED1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3377376"/>
        <c:axId val="983380256"/>
      </c:barChart>
      <c:catAx>
        <c:axId val="98337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80256"/>
        <c:crosses val="autoZero"/>
        <c:auto val="1"/>
        <c:lblAlgn val="ctr"/>
        <c:lblOffset val="100"/>
        <c:noMultiLvlLbl val="0"/>
      </c:catAx>
      <c:valAx>
        <c:axId val="9833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Grant Expenditures Visualized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AC0-4B24-A077-553A350716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52F-49E4-A386-1D134F9A2B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C0-4B24-A077-553A350716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Expenditures!$D$15:$G$15</c15:sqref>
                  </c15:fullRef>
                </c:ext>
              </c:extLst>
              <c:f>Expenditures!$E$15:$G$15</c:f>
              <c:strCache>
                <c:ptCount val="3"/>
                <c:pt idx="0">
                  <c:v>Grant Budget</c:v>
                </c:pt>
                <c:pt idx="1">
                  <c:v>Total Partner expended</c:v>
                </c:pt>
                <c:pt idx="2">
                  <c:v>Expected spending to date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Expenditures!$D$16:$G$16</c15:sqref>
                  </c15:fullRef>
                </c:ext>
              </c:extLst>
              <c:f>Expenditures!$E$16:$G$16</c:f>
              <c:numCache>
                <c:formatCode>"$"#,##0</c:formatCode>
                <c:ptCount val="3"/>
                <c:pt idx="0">
                  <c:v>1657286.3900000001</c:v>
                </c:pt>
                <c:pt idx="1">
                  <c:v>217500</c:v>
                </c:pt>
                <c:pt idx="2">
                  <c:v>878361.78670000006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Expenditures!$D$16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9AC0-4B24-A077-553A35071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1673432"/>
        <c:axId val="771672776"/>
      </c:barChart>
      <c:catAx>
        <c:axId val="77167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2776"/>
        <c:crosses val="autoZero"/>
        <c:auto val="1"/>
        <c:lblAlgn val="ctr"/>
        <c:lblOffset val="100"/>
        <c:noMultiLvlLbl val="0"/>
      </c:catAx>
      <c:valAx>
        <c:axId val="7716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8A-4A43-BC1F-365C739BB2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A-4A43-BC1F-365C739BB2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8A-4A43-BC1F-365C739BB2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8A-4A43-BC1F-365C739BB2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8A-4A43-BC1F-365C739BB253}"/>
              </c:ext>
            </c:extLst>
          </c:dPt>
          <c:cat>
            <c:strRef>
              <c:f>'Cumulative Data'!$A$45:$A$50</c:f>
              <c:strCache>
                <c:ptCount val="6"/>
                <c:pt idx="0">
                  <c:v>Metric 1</c:v>
                </c:pt>
                <c:pt idx="1">
                  <c:v>Metric 2</c:v>
                </c:pt>
                <c:pt idx="2">
                  <c:v>Metric 3</c:v>
                </c:pt>
                <c:pt idx="3">
                  <c:v>Metric 4</c:v>
                </c:pt>
                <c:pt idx="4">
                  <c:v>Metric 5</c:v>
                </c:pt>
                <c:pt idx="5">
                  <c:v>Metric 6</c:v>
                </c:pt>
              </c:strCache>
            </c:strRef>
          </c:cat>
          <c:val>
            <c:numRef>
              <c:f>'Cumulative Data'!$C$45:$C$50</c:f>
              <c:numCache>
                <c:formatCode>General</c:formatCode>
                <c:ptCount val="6"/>
                <c:pt idx="0">
                  <c:v>475</c:v>
                </c:pt>
                <c:pt idx="1">
                  <c:v>409</c:v>
                </c:pt>
                <c:pt idx="2">
                  <c:v>175</c:v>
                </c:pt>
                <c:pt idx="3">
                  <c:v>130</c:v>
                </c:pt>
                <c:pt idx="4">
                  <c:v>112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A-4A43-BC1F-365C739B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88576"/>
        <c:axId val="954688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'Cumulative Data'!$A$45:$A$50</c15:sqref>
                        </c15:formulaRef>
                      </c:ext>
                    </c:extLst>
                    <c:strCache>
                      <c:ptCount val="6"/>
                      <c:pt idx="0">
                        <c:v>Metric 1</c:v>
                      </c:pt>
                      <c:pt idx="1">
                        <c:v>Metric 2</c:v>
                      </c:pt>
                      <c:pt idx="2">
                        <c:v>Metric 3</c:v>
                      </c:pt>
                      <c:pt idx="3">
                        <c:v>Metric 4</c:v>
                      </c:pt>
                      <c:pt idx="4">
                        <c:v>Metric 5</c:v>
                      </c:pt>
                      <c:pt idx="5">
                        <c:v>Metric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Data'!$B$45:$B$50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8A-4A43-BC1F-365C739BB253}"/>
                  </c:ext>
                </c:extLst>
              </c15:ser>
            </c15:filteredBarSeries>
          </c:ext>
        </c:extLst>
      </c:barChart>
      <c:catAx>
        <c:axId val="9546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88936"/>
        <c:crosses val="autoZero"/>
        <c:auto val="1"/>
        <c:lblAlgn val="ctr"/>
        <c:lblOffset val="100"/>
        <c:noMultiLvlLbl val="0"/>
      </c:catAx>
      <c:valAx>
        <c:axId val="9546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00-43C8-BCEE-D9B64B3833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3C8-BCEE-D9B64B3833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00-43C8-BCEE-D9B64B3833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3C8-BCEE-D9B64B3833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00-43C8-BCEE-D9B64B3833B2}"/>
              </c:ext>
            </c:extLst>
          </c:dPt>
          <c:cat>
            <c:strRef>
              <c:f>'Partner 1 Data'!$A$45:$A$50</c:f>
              <c:strCache>
                <c:ptCount val="6"/>
                <c:pt idx="0">
                  <c:v>Metric 1</c:v>
                </c:pt>
                <c:pt idx="1">
                  <c:v>Metric 2</c:v>
                </c:pt>
                <c:pt idx="2">
                  <c:v>Metric 3</c:v>
                </c:pt>
                <c:pt idx="3">
                  <c:v>Metric 4</c:v>
                </c:pt>
                <c:pt idx="4">
                  <c:v>Metric 5</c:v>
                </c:pt>
                <c:pt idx="5">
                  <c:v>Metric 6</c:v>
                </c:pt>
              </c:strCache>
            </c:strRef>
          </c:cat>
          <c:val>
            <c:numRef>
              <c:f>'Partner 1 Data'!$C$45:$C$50</c:f>
              <c:numCache>
                <c:formatCode>General</c:formatCode>
                <c:ptCount val="6"/>
                <c:pt idx="0">
                  <c:v>159</c:v>
                </c:pt>
                <c:pt idx="1">
                  <c:v>144</c:v>
                </c:pt>
                <c:pt idx="2">
                  <c:v>60</c:v>
                </c:pt>
                <c:pt idx="3">
                  <c:v>24</c:v>
                </c:pt>
                <c:pt idx="4">
                  <c:v>33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0-43C8-BCEE-D9B64B38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412632"/>
        <c:axId val="852412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'Partner 1 Data'!$A$45:$A$50</c15:sqref>
                        </c15:formulaRef>
                      </c:ext>
                    </c:extLst>
                    <c:strCache>
                      <c:ptCount val="6"/>
                      <c:pt idx="0">
                        <c:v>Metric 1</c:v>
                      </c:pt>
                      <c:pt idx="1">
                        <c:v>Metric 2</c:v>
                      </c:pt>
                      <c:pt idx="2">
                        <c:v>Metric 3</c:v>
                      </c:pt>
                      <c:pt idx="3">
                        <c:v>Metric 4</c:v>
                      </c:pt>
                      <c:pt idx="4">
                        <c:v>Metric 5</c:v>
                      </c:pt>
                      <c:pt idx="5">
                        <c:v>Metric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'Partner 1 Data'!$B$45:$B$50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00-43C8-BCEE-D9B64B3833B2}"/>
                  </c:ext>
                </c:extLst>
              </c15:ser>
            </c15:filteredBarSeries>
          </c:ext>
        </c:extLst>
      </c:barChart>
      <c:catAx>
        <c:axId val="8524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12992"/>
        <c:crosses val="autoZero"/>
        <c:auto val="1"/>
        <c:lblAlgn val="ctr"/>
        <c:lblOffset val="100"/>
        <c:noMultiLvlLbl val="0"/>
      </c:catAx>
      <c:valAx>
        <c:axId val="852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B9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DB-4AE0-88FE-9D115B193892}"/>
              </c:ext>
            </c:extLst>
          </c:dPt>
          <c:dPt>
            <c:idx val="2"/>
            <c:invertIfNegative val="0"/>
            <c:bubble3D val="0"/>
            <c:spPr>
              <a:solidFill>
                <a:srgbClr val="C352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DB-4AE0-88FE-9D115B193892}"/>
              </c:ext>
            </c:extLst>
          </c:dPt>
          <c:dPt>
            <c:idx val="3"/>
            <c:invertIfNegative val="0"/>
            <c:bubble3D val="0"/>
            <c:spPr>
              <a:solidFill>
                <a:srgbClr val="6CB3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DB-4AE0-88FE-9D115B193892}"/>
              </c:ext>
            </c:extLst>
          </c:dPt>
          <c:dPt>
            <c:idx val="5"/>
            <c:invertIfNegative val="0"/>
            <c:bubble3D val="0"/>
            <c:spPr>
              <a:solidFill>
                <a:srgbClr val="B4E6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DB-4AE0-88FE-9D115B193892}"/>
              </c:ext>
            </c:extLst>
          </c:dPt>
          <c:cat>
            <c:strRef>
              <c:f>'Partner 2 Data'!$A$45:$A$50</c:f>
              <c:strCache>
                <c:ptCount val="6"/>
                <c:pt idx="0">
                  <c:v>Metric 1</c:v>
                </c:pt>
                <c:pt idx="1">
                  <c:v>Metric 2</c:v>
                </c:pt>
                <c:pt idx="2">
                  <c:v>Metric 3</c:v>
                </c:pt>
                <c:pt idx="3">
                  <c:v>Metric 4</c:v>
                </c:pt>
                <c:pt idx="4">
                  <c:v>Metric 5</c:v>
                </c:pt>
                <c:pt idx="5">
                  <c:v>Metric 6</c:v>
                </c:pt>
              </c:strCache>
            </c:strRef>
          </c:cat>
          <c:val>
            <c:numRef>
              <c:f>'Partner 2 Data'!$C$45:$C$50</c:f>
              <c:numCache>
                <c:formatCode>General</c:formatCode>
                <c:ptCount val="6"/>
                <c:pt idx="0">
                  <c:v>65</c:v>
                </c:pt>
                <c:pt idx="1">
                  <c:v>55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B-4AE0-88FE-9D115B19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16672"/>
        <c:axId val="45141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'Partner 2 Data'!$A$45:$A$50</c15:sqref>
                        </c15:formulaRef>
                      </c:ext>
                    </c:extLst>
                    <c:strCache>
                      <c:ptCount val="6"/>
                      <c:pt idx="0">
                        <c:v>Metric 1</c:v>
                      </c:pt>
                      <c:pt idx="1">
                        <c:v>Metric 2</c:v>
                      </c:pt>
                      <c:pt idx="2">
                        <c:v>Metric 3</c:v>
                      </c:pt>
                      <c:pt idx="3">
                        <c:v>Metric 4</c:v>
                      </c:pt>
                      <c:pt idx="4">
                        <c:v>Metric 5</c:v>
                      </c:pt>
                      <c:pt idx="5">
                        <c:v>Metric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'Partner 2 Data'!$B$45:$B$50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DB-4AE0-88FE-9D115B193892}"/>
                  </c:ext>
                </c:extLst>
              </c15:ser>
            </c15:filteredBarSeries>
          </c:ext>
        </c:extLst>
      </c:barChart>
      <c:catAx>
        <c:axId val="4514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7392"/>
        <c:crosses val="autoZero"/>
        <c:auto val="1"/>
        <c:lblAlgn val="ctr"/>
        <c:lblOffset val="100"/>
        <c:noMultiLvlLbl val="0"/>
      </c:catAx>
      <c:valAx>
        <c:axId val="451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766762</xdr:rowOff>
    </xdr:from>
    <xdr:to>
      <xdr:col>0</xdr:col>
      <xdr:colOff>5295901</xdr:colOff>
      <xdr:row>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26480-4701-378F-D1EE-C45917E6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5295901</xdr:colOff>
      <xdr:row>0</xdr:row>
      <xdr:rowOff>766762</xdr:rowOff>
    </xdr:from>
    <xdr:to>
      <xdr:col>3</xdr:col>
      <xdr:colOff>704850</xdr:colOff>
      <xdr:row>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7338F-9130-F534-199B-0A15CF1B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704851</xdr:colOff>
      <xdr:row>0</xdr:row>
      <xdr:rowOff>766762</xdr:rowOff>
    </xdr:from>
    <xdr:to>
      <xdr:col>6</xdr:col>
      <xdr:colOff>1057276</xdr:colOff>
      <xdr:row>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0F8F2-E5A6-2CD1-216F-2497BF07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1057276</xdr:colOff>
      <xdr:row>0</xdr:row>
      <xdr:rowOff>766762</xdr:rowOff>
    </xdr:from>
    <xdr:to>
      <xdr:col>14</xdr:col>
      <xdr:colOff>457201</xdr:colOff>
      <xdr:row>3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E23E5-6E32-4995-0F94-5254D0548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5</xdr:row>
      <xdr:rowOff>171450</xdr:rowOff>
    </xdr:from>
    <xdr:to>
      <xdr:col>12</xdr:col>
      <xdr:colOff>400050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D7BB79-8784-2A1C-5567-82FB65B3CD4B}"/>
            </a:ext>
          </a:extLst>
        </xdr:cNvPr>
        <xdr:cNvSpPr txBox="1"/>
      </xdr:nvSpPr>
      <xdr:spPr>
        <a:xfrm>
          <a:off x="14068425" y="4038600"/>
          <a:ext cx="2219325" cy="8191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>
              <a:solidFill>
                <a:schemeClr val="bg1"/>
              </a:solidFill>
            </a:rPr>
            <a:t>Performance &amp; Budget Tool</a:t>
          </a:r>
        </a:p>
        <a:p>
          <a:r>
            <a:rPr lang="en-US" sz="1100">
              <a:solidFill>
                <a:schemeClr val="bg1"/>
              </a:solidFill>
            </a:rPr>
            <a:t>by Drew Winter</a:t>
          </a:r>
        </a:p>
        <a:p>
          <a:r>
            <a:rPr lang="en-US" sz="1100">
              <a:solidFill>
                <a:schemeClr val="bg1"/>
              </a:solidFill>
            </a:rPr>
            <a:t>MiREACH Analyst, Sector Strategies</a:t>
          </a:r>
        </a:p>
        <a:p>
          <a:r>
            <a:rPr lang="en-US" sz="1100">
              <a:solidFill>
                <a:schemeClr val="bg1"/>
              </a:solidFill>
            </a:rPr>
            <a:t>Labor and Economic Opportunity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16</xdr:col>
      <xdr:colOff>9525</xdr:colOff>
      <xdr:row>25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22B3EC-CA8D-5FED-70C3-F0C0B579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18</xdr:col>
      <xdr:colOff>581025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0FD336-CFD8-C0D3-19DE-E5498DFDC820}"/>
            </a:ext>
          </a:extLst>
        </xdr:cNvPr>
        <xdr:cNvSpPr txBox="1"/>
      </xdr:nvSpPr>
      <xdr:spPr>
        <a:xfrm>
          <a:off x="15706725" y="2752725"/>
          <a:ext cx="171450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After pasting new</a:t>
          </a:r>
          <a:r>
            <a:rPr lang="en-US" sz="1100" baseline="0"/>
            <a:t> data in, select Date column, Data &gt; Text to Column &gt; Next &gt; Next &gt; select MDY. </a:t>
          </a:r>
        </a:p>
        <a:p>
          <a:endParaRPr lang="en-US" sz="1100" baseline="0"/>
        </a:p>
        <a:p>
          <a:r>
            <a:rPr lang="en-US" sz="1100" baseline="0"/>
            <a:t>This removes leading zeros so they can be picked up by the table.</a:t>
          </a:r>
          <a:endParaRPr lang="en-US" sz="1100"/>
        </a:p>
      </xdr:txBody>
    </xdr:sp>
    <xdr:clientData/>
  </xdr:twoCellAnchor>
  <xdr:twoCellAnchor>
    <xdr:from>
      <xdr:col>6</xdr:col>
      <xdr:colOff>476250</xdr:colOff>
      <xdr:row>29</xdr:row>
      <xdr:rowOff>38100</xdr:rowOff>
    </xdr:from>
    <xdr:to>
      <xdr:col>8</xdr:col>
      <xdr:colOff>266700</xdr:colOff>
      <xdr:row>35</xdr:row>
      <xdr:rowOff>56936</xdr:rowOff>
    </xdr:to>
    <xdr:sp macro="" textlink="">
      <xdr:nvSpPr>
        <xdr:cNvPr id="3" name="Octagon 2">
          <a:extLst>
            <a:ext uri="{FF2B5EF4-FFF2-40B4-BE49-F238E27FC236}">
              <a16:creationId xmlns:a16="http://schemas.microsoft.com/office/drawing/2014/main" id="{2EB4AD82-D5F8-49D4-AD57-0B6F1395846A}"/>
            </a:ext>
          </a:extLst>
        </xdr:cNvPr>
        <xdr:cNvSpPr/>
      </xdr:nvSpPr>
      <xdr:spPr>
        <a:xfrm>
          <a:off x="4924425" y="5953125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676274</xdr:colOff>
      <xdr:row>26</xdr:row>
      <xdr:rowOff>71437</xdr:rowOff>
    </xdr:from>
    <xdr:to>
      <xdr:col>15</xdr:col>
      <xdr:colOff>38100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674CC-0BAC-5834-B363-70EEE853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1409700</xdr:colOff>
      <xdr:row>32</xdr:row>
      <xdr:rowOff>61912</xdr:rowOff>
    </xdr:from>
    <xdr:to>
      <xdr:col>7</xdr:col>
      <xdr:colOff>19050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34ACB-F0B2-3B36-0247-FC4D846C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57150</xdr:rowOff>
    </xdr:from>
    <xdr:to>
      <xdr:col>8</xdr:col>
      <xdr:colOff>38100</xdr:colOff>
      <xdr:row>18</xdr:row>
      <xdr:rowOff>75986</xdr:rowOff>
    </xdr:to>
    <xdr:sp macro="" textlink="">
      <xdr:nvSpPr>
        <xdr:cNvPr id="6" name="Octagon 5">
          <a:extLst>
            <a:ext uri="{FF2B5EF4-FFF2-40B4-BE49-F238E27FC236}">
              <a16:creationId xmlns:a16="http://schemas.microsoft.com/office/drawing/2014/main" id="{95307308-F405-44D3-B0BB-83C238EBB009}"/>
            </a:ext>
          </a:extLst>
        </xdr:cNvPr>
        <xdr:cNvSpPr/>
      </xdr:nvSpPr>
      <xdr:spPr>
        <a:xfrm>
          <a:off x="8677275" y="2533650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11</xdr:col>
      <xdr:colOff>142875</xdr:colOff>
      <xdr:row>12</xdr:row>
      <xdr:rowOff>57150</xdr:rowOff>
    </xdr:from>
    <xdr:to>
      <xdr:col>11</xdr:col>
      <xdr:colOff>1362075</xdr:colOff>
      <xdr:row>18</xdr:row>
      <xdr:rowOff>75986</xdr:rowOff>
    </xdr:to>
    <xdr:sp macro="" textlink="">
      <xdr:nvSpPr>
        <xdr:cNvPr id="7" name="Octagon 6">
          <a:extLst>
            <a:ext uri="{FF2B5EF4-FFF2-40B4-BE49-F238E27FC236}">
              <a16:creationId xmlns:a16="http://schemas.microsoft.com/office/drawing/2014/main" id="{EC4D9C5C-591D-4FAA-BD0B-FCC6824368EB}"/>
            </a:ext>
          </a:extLst>
        </xdr:cNvPr>
        <xdr:cNvSpPr/>
      </xdr:nvSpPr>
      <xdr:spPr>
        <a:xfrm>
          <a:off x="13335000" y="2533650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1724025</xdr:colOff>
      <xdr:row>6</xdr:row>
      <xdr:rowOff>95250</xdr:rowOff>
    </xdr:from>
    <xdr:to>
      <xdr:col>8</xdr:col>
      <xdr:colOff>219075</xdr:colOff>
      <xdr:row>12</xdr:row>
      <xdr:rowOff>114086</xdr:rowOff>
    </xdr:to>
    <xdr:sp macro="" textlink="">
      <xdr:nvSpPr>
        <xdr:cNvPr id="2" name="Octagon 1">
          <a:extLst>
            <a:ext uri="{FF2B5EF4-FFF2-40B4-BE49-F238E27FC236}">
              <a16:creationId xmlns:a16="http://schemas.microsoft.com/office/drawing/2014/main" id="{96233205-76F2-4243-8472-99E0D1591614}"/>
            </a:ext>
          </a:extLst>
        </xdr:cNvPr>
        <xdr:cNvSpPr/>
      </xdr:nvSpPr>
      <xdr:spPr>
        <a:xfrm>
          <a:off x="11077575" y="1238250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4</xdr:col>
      <xdr:colOff>657225</xdr:colOff>
      <xdr:row>6</xdr:row>
      <xdr:rowOff>142875</xdr:rowOff>
    </xdr:from>
    <xdr:to>
      <xdr:col>5</xdr:col>
      <xdr:colOff>1104900</xdr:colOff>
      <xdr:row>12</xdr:row>
      <xdr:rowOff>161711</xdr:rowOff>
    </xdr:to>
    <xdr:sp macro="" textlink="">
      <xdr:nvSpPr>
        <xdr:cNvPr id="3" name="Octagon 2">
          <a:extLst>
            <a:ext uri="{FF2B5EF4-FFF2-40B4-BE49-F238E27FC236}">
              <a16:creationId xmlns:a16="http://schemas.microsoft.com/office/drawing/2014/main" id="{F0C1D922-E3EB-48E9-8B26-41E95F7C2739}"/>
            </a:ext>
          </a:extLst>
        </xdr:cNvPr>
        <xdr:cNvSpPr/>
      </xdr:nvSpPr>
      <xdr:spPr>
        <a:xfrm>
          <a:off x="8086725" y="1285875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66673</xdr:colOff>
      <xdr:row>7</xdr:row>
      <xdr:rowOff>14287</xdr:rowOff>
    </xdr:from>
    <xdr:to>
      <xdr:col>24</xdr:col>
      <xdr:colOff>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11BB4-61D3-2937-FA8B-A08B3BE96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</xdr:row>
      <xdr:rowOff>28575</xdr:rowOff>
    </xdr:from>
    <xdr:to>
      <xdr:col>1</xdr:col>
      <xdr:colOff>361950</xdr:colOff>
      <xdr:row>9</xdr:row>
      <xdr:rowOff>47411</xdr:rowOff>
    </xdr:to>
    <xdr:sp macro="" textlink="">
      <xdr:nvSpPr>
        <xdr:cNvPr id="7" name="Octagon 6">
          <a:extLst>
            <a:ext uri="{FF2B5EF4-FFF2-40B4-BE49-F238E27FC236}">
              <a16:creationId xmlns:a16="http://schemas.microsoft.com/office/drawing/2014/main" id="{48C6A62B-915C-07E5-E21E-3D1C73B4DC92}"/>
            </a:ext>
          </a:extLst>
        </xdr:cNvPr>
        <xdr:cNvSpPr/>
      </xdr:nvSpPr>
      <xdr:spPr>
        <a:xfrm>
          <a:off x="304800" y="419100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9</xdr:col>
      <xdr:colOff>323850</xdr:colOff>
      <xdr:row>3</xdr:row>
      <xdr:rowOff>57150</xdr:rowOff>
    </xdr:from>
    <xdr:to>
      <xdr:col>11</xdr:col>
      <xdr:colOff>323850</xdr:colOff>
      <xdr:row>9</xdr:row>
      <xdr:rowOff>75986</xdr:rowOff>
    </xdr:to>
    <xdr:sp macro="" textlink="">
      <xdr:nvSpPr>
        <xdr:cNvPr id="8" name="Octagon 7">
          <a:extLst>
            <a:ext uri="{FF2B5EF4-FFF2-40B4-BE49-F238E27FC236}">
              <a16:creationId xmlns:a16="http://schemas.microsoft.com/office/drawing/2014/main" id="{939D1EFC-9B9C-43DE-91A4-BFC7CE62A756}"/>
            </a:ext>
          </a:extLst>
        </xdr:cNvPr>
        <xdr:cNvSpPr/>
      </xdr:nvSpPr>
      <xdr:spPr>
        <a:xfrm>
          <a:off x="7115175" y="1066800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12</xdr:row>
      <xdr:rowOff>19050</xdr:rowOff>
    </xdr:from>
    <xdr:to>
      <xdr:col>14</xdr:col>
      <xdr:colOff>523426</xdr:colOff>
      <xdr:row>33</xdr:row>
      <xdr:rowOff>189979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E6526-BDF7-2CB0-7D08-8A2EA4A0B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2667000"/>
          <a:ext cx="3590476" cy="4171429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10</xdr:row>
      <xdr:rowOff>123825</xdr:rowOff>
    </xdr:from>
    <xdr:to>
      <xdr:col>4</xdr:col>
      <xdr:colOff>123825</xdr:colOff>
      <xdr:row>12</xdr:row>
      <xdr:rowOff>47625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7B447AC-F951-0D8B-24C1-6DC5BA5DE29E}"/>
            </a:ext>
          </a:extLst>
        </xdr:cNvPr>
        <xdr:cNvSpPr/>
      </xdr:nvSpPr>
      <xdr:spPr>
        <a:xfrm>
          <a:off x="1266825" y="2209800"/>
          <a:ext cx="1295400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=CELL NAME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32</xdr:row>
      <xdr:rowOff>0</xdr:rowOff>
    </xdr:from>
    <xdr:to>
      <xdr:col>16</xdr:col>
      <xdr:colOff>304800</xdr:colOff>
      <xdr:row>33</xdr:row>
      <xdr:rowOff>104775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93285713-2B05-4160-9752-1AA1EEF70B01}"/>
            </a:ext>
          </a:extLst>
        </xdr:cNvPr>
        <xdr:cNvSpPr>
          <a:spLocks noChangeAspect="1" noChangeArrowheads="1"/>
        </xdr:cNvSpPr>
      </xdr:nvSpPr>
      <xdr:spPr bwMode="auto">
        <a:xfrm>
          <a:off x="20793075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42861</xdr:rowOff>
    </xdr:from>
    <xdr:to>
      <xdr:col>0</xdr:col>
      <xdr:colOff>4295775</xdr:colOff>
      <xdr:row>25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45B9F-01DF-B6CB-30F6-03F8D815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752475</xdr:rowOff>
    </xdr:from>
    <xdr:to>
      <xdr:col>2</xdr:col>
      <xdr:colOff>1257299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2DD05-4D7D-9251-317E-E450FD15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39</xdr:row>
      <xdr:rowOff>128587</xdr:rowOff>
    </xdr:from>
    <xdr:to>
      <xdr:col>25</xdr:col>
      <xdr:colOff>400050</xdr:colOff>
      <xdr:row>50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00126-BF89-6A04-89A5-030B9685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5</xdr:row>
      <xdr:rowOff>19050</xdr:rowOff>
    </xdr:from>
    <xdr:to>
      <xdr:col>21</xdr:col>
      <xdr:colOff>9525</xdr:colOff>
      <xdr:row>11</xdr:row>
      <xdr:rowOff>18836</xdr:rowOff>
    </xdr:to>
    <xdr:sp macro="" textlink="">
      <xdr:nvSpPr>
        <xdr:cNvPr id="11" name="Octagon 10">
          <a:extLst>
            <a:ext uri="{FF2B5EF4-FFF2-40B4-BE49-F238E27FC236}">
              <a16:creationId xmlns:a16="http://schemas.microsoft.com/office/drawing/2014/main" id="{C0C4794C-DDF6-4C9C-A564-66AAC032AAC8}"/>
            </a:ext>
          </a:extLst>
        </xdr:cNvPr>
        <xdr:cNvSpPr/>
      </xdr:nvSpPr>
      <xdr:spPr>
        <a:xfrm>
          <a:off x="12106275" y="1323975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5</xdr:col>
      <xdr:colOff>247650</xdr:colOff>
      <xdr:row>45</xdr:row>
      <xdr:rowOff>66675</xdr:rowOff>
    </xdr:from>
    <xdr:to>
      <xdr:col>7</xdr:col>
      <xdr:colOff>209550</xdr:colOff>
      <xdr:row>48</xdr:row>
      <xdr:rowOff>285536</xdr:rowOff>
    </xdr:to>
    <xdr:sp macro="" textlink="">
      <xdr:nvSpPr>
        <xdr:cNvPr id="13" name="Octagon 12">
          <a:extLst>
            <a:ext uri="{FF2B5EF4-FFF2-40B4-BE49-F238E27FC236}">
              <a16:creationId xmlns:a16="http://schemas.microsoft.com/office/drawing/2014/main" id="{F21532FC-B437-4C21-81A3-602B8D07AB2C}"/>
            </a:ext>
          </a:extLst>
        </xdr:cNvPr>
        <xdr:cNvSpPr/>
      </xdr:nvSpPr>
      <xdr:spPr>
        <a:xfrm>
          <a:off x="3400425" y="9201150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  <xdr:twoCellAnchor>
    <xdr:from>
      <xdr:col>18</xdr:col>
      <xdr:colOff>28575</xdr:colOff>
      <xdr:row>39</xdr:row>
      <xdr:rowOff>128587</xdr:rowOff>
    </xdr:from>
    <xdr:to>
      <xdr:col>25</xdr:col>
      <xdr:colOff>333375</xdr:colOff>
      <xdr:row>50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D094A1-BB25-18BC-2307-5474090F7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4</xdr:row>
      <xdr:rowOff>200025</xdr:rowOff>
    </xdr:from>
    <xdr:to>
      <xdr:col>20</xdr:col>
      <xdr:colOff>581025</xdr:colOff>
      <xdr:row>10</xdr:row>
      <xdr:rowOff>152186</xdr:rowOff>
    </xdr:to>
    <xdr:sp macro="" textlink="">
      <xdr:nvSpPr>
        <xdr:cNvPr id="2" name="Octagon 1">
          <a:extLst>
            <a:ext uri="{FF2B5EF4-FFF2-40B4-BE49-F238E27FC236}">
              <a16:creationId xmlns:a16="http://schemas.microsoft.com/office/drawing/2014/main" id="{4D33BCCF-4345-47AE-9822-8190450EE601}"/>
            </a:ext>
          </a:extLst>
        </xdr:cNvPr>
        <xdr:cNvSpPr/>
      </xdr:nvSpPr>
      <xdr:spPr>
        <a:xfrm>
          <a:off x="11706225" y="1304925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6</xdr:col>
      <xdr:colOff>200025</xdr:colOff>
      <xdr:row>45</xdr:row>
      <xdr:rowOff>9525</xdr:rowOff>
    </xdr:from>
    <xdr:to>
      <xdr:col>8</xdr:col>
      <xdr:colOff>200025</xdr:colOff>
      <xdr:row>48</xdr:row>
      <xdr:rowOff>228386</xdr:rowOff>
    </xdr:to>
    <xdr:sp macro="" textlink="">
      <xdr:nvSpPr>
        <xdr:cNvPr id="6" name="Octagon 5">
          <a:extLst>
            <a:ext uri="{FF2B5EF4-FFF2-40B4-BE49-F238E27FC236}">
              <a16:creationId xmlns:a16="http://schemas.microsoft.com/office/drawing/2014/main" id="{39858269-B3B6-4996-8B1B-F36B91D4F1F0}"/>
            </a:ext>
          </a:extLst>
        </xdr:cNvPr>
        <xdr:cNvSpPr/>
      </xdr:nvSpPr>
      <xdr:spPr>
        <a:xfrm>
          <a:off x="3952875" y="9258300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  <xdr:twoCellAnchor>
    <xdr:from>
      <xdr:col>18</xdr:col>
      <xdr:colOff>47625</xdr:colOff>
      <xdr:row>39</xdr:row>
      <xdr:rowOff>119062</xdr:rowOff>
    </xdr:from>
    <xdr:to>
      <xdr:col>25</xdr:col>
      <xdr:colOff>352425</xdr:colOff>
      <xdr:row>49</xdr:row>
      <xdr:rowOff>309562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8E7476-A2DD-7F5F-A518-CB0F45FE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5</xdr:row>
      <xdr:rowOff>9525</xdr:rowOff>
    </xdr:from>
    <xdr:to>
      <xdr:col>21</xdr:col>
      <xdr:colOff>19050</xdr:colOff>
      <xdr:row>10</xdr:row>
      <xdr:rowOff>180761</xdr:rowOff>
    </xdr:to>
    <xdr:sp macro="" textlink="">
      <xdr:nvSpPr>
        <xdr:cNvPr id="5" name="Octagon 4">
          <a:extLst>
            <a:ext uri="{FF2B5EF4-FFF2-40B4-BE49-F238E27FC236}">
              <a16:creationId xmlns:a16="http://schemas.microsoft.com/office/drawing/2014/main" id="{EE6BF36C-AC1A-48F7-B8CB-9BF39013E605}"/>
            </a:ext>
          </a:extLst>
        </xdr:cNvPr>
        <xdr:cNvSpPr/>
      </xdr:nvSpPr>
      <xdr:spPr>
        <a:xfrm>
          <a:off x="12296775" y="1314450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7</xdr:col>
      <xdr:colOff>9525</xdr:colOff>
      <xdr:row>45</xdr:row>
      <xdr:rowOff>19050</xdr:rowOff>
    </xdr:from>
    <xdr:to>
      <xdr:col>8</xdr:col>
      <xdr:colOff>590550</xdr:colOff>
      <xdr:row>48</xdr:row>
      <xdr:rowOff>237911</xdr:rowOff>
    </xdr:to>
    <xdr:sp macro="" textlink="">
      <xdr:nvSpPr>
        <xdr:cNvPr id="8" name="Octagon 7">
          <a:extLst>
            <a:ext uri="{FF2B5EF4-FFF2-40B4-BE49-F238E27FC236}">
              <a16:creationId xmlns:a16="http://schemas.microsoft.com/office/drawing/2014/main" id="{06243D4C-055A-4ED6-BA77-30EAB9807455}"/>
            </a:ext>
          </a:extLst>
        </xdr:cNvPr>
        <xdr:cNvSpPr/>
      </xdr:nvSpPr>
      <xdr:spPr>
        <a:xfrm>
          <a:off x="4657725" y="9191625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  <xdr:twoCellAnchor>
    <xdr:from>
      <xdr:col>18</xdr:col>
      <xdr:colOff>47625</xdr:colOff>
      <xdr:row>39</xdr:row>
      <xdr:rowOff>128587</xdr:rowOff>
    </xdr:from>
    <xdr:to>
      <xdr:col>25</xdr:col>
      <xdr:colOff>352425</xdr:colOff>
      <xdr:row>50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AC7625-AB36-2C2E-ACDA-40989A64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5</xdr:row>
      <xdr:rowOff>0</xdr:rowOff>
    </xdr:from>
    <xdr:to>
      <xdr:col>21</xdr:col>
      <xdr:colOff>28575</xdr:colOff>
      <xdr:row>10</xdr:row>
      <xdr:rowOff>161711</xdr:rowOff>
    </xdr:to>
    <xdr:sp macro="" textlink="">
      <xdr:nvSpPr>
        <xdr:cNvPr id="2" name="Octagon 1">
          <a:extLst>
            <a:ext uri="{FF2B5EF4-FFF2-40B4-BE49-F238E27FC236}">
              <a16:creationId xmlns:a16="http://schemas.microsoft.com/office/drawing/2014/main" id="{DF3020C7-49C7-4BF8-9151-5D5878575F0A}"/>
            </a:ext>
          </a:extLst>
        </xdr:cNvPr>
        <xdr:cNvSpPr/>
      </xdr:nvSpPr>
      <xdr:spPr>
        <a:xfrm>
          <a:off x="11772900" y="1314450"/>
          <a:ext cx="1219200" cy="1161836"/>
        </a:xfrm>
        <a:prstGeom prst="octagon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USER DATA REDACTED</a:t>
          </a:r>
        </a:p>
      </xdr:txBody>
    </xdr:sp>
    <xdr:clientData/>
  </xdr:twoCellAnchor>
  <xdr:twoCellAnchor>
    <xdr:from>
      <xdr:col>5</xdr:col>
      <xdr:colOff>285750</xdr:colOff>
      <xdr:row>45</xdr:row>
      <xdr:rowOff>19050</xdr:rowOff>
    </xdr:from>
    <xdr:to>
      <xdr:col>7</xdr:col>
      <xdr:colOff>285750</xdr:colOff>
      <xdr:row>48</xdr:row>
      <xdr:rowOff>237911</xdr:rowOff>
    </xdr:to>
    <xdr:sp macro="" textlink="">
      <xdr:nvSpPr>
        <xdr:cNvPr id="6" name="Octagon 5">
          <a:extLst>
            <a:ext uri="{FF2B5EF4-FFF2-40B4-BE49-F238E27FC236}">
              <a16:creationId xmlns:a16="http://schemas.microsoft.com/office/drawing/2014/main" id="{53E09F87-1366-403F-9AD7-39CFCE52BFF2}"/>
            </a:ext>
          </a:extLst>
        </xdr:cNvPr>
        <xdr:cNvSpPr/>
      </xdr:nvSpPr>
      <xdr:spPr>
        <a:xfrm>
          <a:off x="3495675" y="9267825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  <xdr:twoCellAnchor>
    <xdr:from>
      <xdr:col>18</xdr:col>
      <xdr:colOff>104775</xdr:colOff>
      <xdr:row>39</xdr:row>
      <xdr:rowOff>157162</xdr:rowOff>
    </xdr:from>
    <xdr:to>
      <xdr:col>25</xdr:col>
      <xdr:colOff>409575</xdr:colOff>
      <xdr:row>50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98A941-F711-0241-2EBB-D9A532B8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0</xdr:rowOff>
    </xdr:from>
    <xdr:to>
      <xdr:col>4</xdr:col>
      <xdr:colOff>314325</xdr:colOff>
      <xdr:row>12</xdr:row>
      <xdr:rowOff>18836</xdr:rowOff>
    </xdr:to>
    <xdr:sp macro="" textlink="">
      <xdr:nvSpPr>
        <xdr:cNvPr id="3" name="Octagon 2">
          <a:extLst>
            <a:ext uri="{FF2B5EF4-FFF2-40B4-BE49-F238E27FC236}">
              <a16:creationId xmlns:a16="http://schemas.microsoft.com/office/drawing/2014/main" id="{BA87CAC8-9B88-4AE1-938B-8E4F5DB56655}"/>
            </a:ext>
          </a:extLst>
        </xdr:cNvPr>
        <xdr:cNvSpPr/>
      </xdr:nvSpPr>
      <xdr:spPr>
        <a:xfrm>
          <a:off x="4705350" y="1285875"/>
          <a:ext cx="1219200" cy="1161836"/>
        </a:xfrm>
        <a:prstGeom prst="octagon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EXAMPLE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LEO">
      <a:dk1>
        <a:sysClr val="windowText" lastClr="000000"/>
      </a:dk1>
      <a:lt1>
        <a:sysClr val="window" lastClr="FFFFFF"/>
      </a:lt1>
      <a:dk2>
        <a:srgbClr val="003146"/>
      </a:dk2>
      <a:lt2>
        <a:srgbClr val="EBDDC3"/>
      </a:lt2>
      <a:accent1>
        <a:srgbClr val="003146"/>
      </a:accent1>
      <a:accent2>
        <a:srgbClr val="1F617F"/>
      </a:accent2>
      <a:accent3>
        <a:srgbClr val="C35231"/>
      </a:accent3>
      <a:accent4>
        <a:srgbClr val="F7B934"/>
      </a:accent4>
      <a:accent5>
        <a:srgbClr val="6CB3E3"/>
      </a:accent5>
      <a:accent6>
        <a:srgbClr val="B4E6FC"/>
      </a:accent6>
      <a:hlink>
        <a:srgbClr val="3116F6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LEO">
    <a:dk1>
      <a:sysClr val="windowText" lastClr="000000"/>
    </a:dk1>
    <a:lt1>
      <a:sysClr val="window" lastClr="FFFFFF"/>
    </a:lt1>
    <a:dk2>
      <a:srgbClr val="003146"/>
    </a:dk2>
    <a:lt2>
      <a:srgbClr val="EBDDC3"/>
    </a:lt2>
    <a:accent1>
      <a:srgbClr val="003146"/>
    </a:accent1>
    <a:accent2>
      <a:srgbClr val="1F617F"/>
    </a:accent2>
    <a:accent3>
      <a:srgbClr val="C35231"/>
    </a:accent3>
    <a:accent4>
      <a:srgbClr val="F7B934"/>
    </a:accent4>
    <a:accent5>
      <a:srgbClr val="6CB3E3"/>
    </a:accent5>
    <a:accent6>
      <a:srgbClr val="B4E6FC"/>
    </a:accent6>
    <a:hlink>
      <a:srgbClr val="3116F6"/>
    </a:hlink>
    <a:folHlink>
      <a:srgbClr val="7030A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LEO">
    <a:dk1>
      <a:sysClr val="windowText" lastClr="000000"/>
    </a:dk1>
    <a:lt1>
      <a:sysClr val="window" lastClr="FFFFFF"/>
    </a:lt1>
    <a:dk2>
      <a:srgbClr val="003146"/>
    </a:dk2>
    <a:lt2>
      <a:srgbClr val="EBDDC3"/>
    </a:lt2>
    <a:accent1>
      <a:srgbClr val="003146"/>
    </a:accent1>
    <a:accent2>
      <a:srgbClr val="1F617F"/>
    </a:accent2>
    <a:accent3>
      <a:srgbClr val="C35231"/>
    </a:accent3>
    <a:accent4>
      <a:srgbClr val="F7B934"/>
    </a:accent4>
    <a:accent5>
      <a:srgbClr val="6CB3E3"/>
    </a:accent5>
    <a:accent6>
      <a:srgbClr val="B4E6FC"/>
    </a:accent6>
    <a:hlink>
      <a:srgbClr val="3116F6"/>
    </a:hlink>
    <a:folHlink>
      <a:srgbClr val="7030A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onetonline.org/link/summary/29-2034.00" TargetMode="External"/><Relationship Id="rId1" Type="http://schemas.openxmlformats.org/officeDocument/2006/relationships/hyperlink" Target="https://www.onetonline.org/find/result?s=31-1014.00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youtube.com/watch?v=OpNnMH6iY4A&amp;pp=ygUUZXhjZWwgc3VtaWYgZnVuY3Rpb24%3D" TargetMode="External"/><Relationship Id="rId1" Type="http://schemas.openxmlformats.org/officeDocument/2006/relationships/hyperlink" Target="https://www.youtube.com/watch?v=AZuBNWMh7VM&amp;t=52s&amp;pp=ygUUZXhjZWwgc3VtaWYgZnVuY3Rpb24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2774-F607-49CB-BC70-7503350BA82D}">
  <dimension ref="A1:Z33"/>
  <sheetViews>
    <sheetView workbookViewId="0">
      <selection activeCell="K12" sqref="K12"/>
    </sheetView>
  </sheetViews>
  <sheetFormatPr defaultRowHeight="15" x14ac:dyDescent="0.25"/>
  <cols>
    <col min="1" max="1" width="95.7109375" customWidth="1"/>
    <col min="2" max="7" width="16.140625" customWidth="1"/>
  </cols>
  <sheetData>
    <row r="1" spans="1:26" ht="60.75" customHeight="1" x14ac:dyDescent="1.35">
      <c r="A1" s="516" t="s">
        <v>238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  <c r="S1" s="516"/>
    </row>
    <row r="2" spans="1:26" ht="198.75" customHeight="1" x14ac:dyDescent="0.25"/>
    <row r="4" spans="1:26" s="496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96" customFormat="1" ht="15.75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497" t="s">
        <v>314</v>
      </c>
      <c r="B6" s="498" t="s">
        <v>238</v>
      </c>
      <c r="C6" s="499" t="s">
        <v>264</v>
      </c>
      <c r="D6" s="500" t="s">
        <v>263</v>
      </c>
      <c r="E6" s="501" t="s">
        <v>262</v>
      </c>
      <c r="F6" s="502" t="s">
        <v>265</v>
      </c>
      <c r="G6" s="503" t="s">
        <v>95</v>
      </c>
      <c r="H6" s="2"/>
      <c r="I6" s="2"/>
      <c r="J6" s="2"/>
      <c r="K6" s="2"/>
      <c r="L6" s="2"/>
      <c r="M6" s="2"/>
      <c r="N6" s="2"/>
      <c r="O6" s="2"/>
      <c r="P6" s="2"/>
    </row>
    <row r="7" spans="1:26" ht="21" x14ac:dyDescent="0.35">
      <c r="A7" s="509" t="s">
        <v>244</v>
      </c>
      <c r="B7" s="510">
        <f>Performance!P21</f>
        <v>1.25</v>
      </c>
      <c r="C7" s="510">
        <f>Performance!AE5</f>
        <v>0.64827586206896548</v>
      </c>
      <c r="D7" s="510">
        <f>Performance!AT5</f>
        <v>1.8470588235294119</v>
      </c>
      <c r="E7" s="510">
        <f>Performance!BI5</f>
        <v>1.3</v>
      </c>
      <c r="F7" s="510">
        <f>Performance!P5</f>
        <v>1.59</v>
      </c>
      <c r="G7" s="511" t="s">
        <v>37</v>
      </c>
      <c r="H7" s="2"/>
      <c r="I7" s="2"/>
      <c r="J7" s="2"/>
      <c r="K7" s="2"/>
      <c r="L7" s="2"/>
      <c r="M7" s="2"/>
      <c r="N7" s="2"/>
      <c r="O7" s="2"/>
      <c r="P7" s="2"/>
    </row>
    <row r="8" spans="1:26" ht="21" x14ac:dyDescent="0.35">
      <c r="A8" s="504" t="s">
        <v>245</v>
      </c>
      <c r="B8" s="505">
        <f>Performance!P22</f>
        <v>1.0994623655913978</v>
      </c>
      <c r="C8" s="505">
        <f>Performance!AE6</f>
        <v>0.34193548387096773</v>
      </c>
      <c r="D8" s="505">
        <f>Performance!AT6</f>
        <v>1.9624999999999999</v>
      </c>
      <c r="E8" s="505">
        <f>Performance!BI6</f>
        <v>1.375</v>
      </c>
      <c r="F8" s="505">
        <f>Performance!P6</f>
        <v>1.4845360824742269</v>
      </c>
      <c r="G8" s="506" t="s">
        <v>37</v>
      </c>
      <c r="H8" s="2"/>
      <c r="I8" s="2"/>
      <c r="J8" s="2"/>
      <c r="K8" s="2"/>
      <c r="L8" s="2"/>
      <c r="M8" s="2"/>
      <c r="N8" s="2"/>
      <c r="O8" s="2"/>
      <c r="P8" s="2"/>
    </row>
    <row r="9" spans="1:26" ht="21" x14ac:dyDescent="0.35">
      <c r="A9" s="509" t="s">
        <v>246</v>
      </c>
      <c r="B9" s="510">
        <f>Performance!P23</f>
        <v>0.57565789473684215</v>
      </c>
      <c r="C9" s="510">
        <f>Performance!AE7</f>
        <v>0.22580645161290322</v>
      </c>
      <c r="D9" s="510">
        <f>Performance!AT7</f>
        <v>1.2769230769230768</v>
      </c>
      <c r="E9" s="510">
        <f>Performance!BI7</f>
        <v>0.13333333333333333</v>
      </c>
      <c r="F9" s="510">
        <f>Performance!P7</f>
        <v>0.70588235294117652</v>
      </c>
      <c r="G9" s="511" t="s">
        <v>37</v>
      </c>
      <c r="H9" s="2"/>
      <c r="I9" s="2"/>
      <c r="J9" s="2"/>
      <c r="K9" s="2"/>
      <c r="L9" s="2"/>
      <c r="M9" s="2"/>
      <c r="N9" s="2"/>
      <c r="O9" s="2"/>
      <c r="P9" s="2"/>
    </row>
    <row r="10" spans="1:26" ht="21" x14ac:dyDescent="0.35">
      <c r="A10" s="504" t="s">
        <v>247</v>
      </c>
      <c r="B10" s="505">
        <f>Performance!P24</f>
        <v>0.44217687074829931</v>
      </c>
      <c r="C10" s="505">
        <f>Performance!AE8</f>
        <v>0.16129032258064516</v>
      </c>
      <c r="D10" s="505">
        <f>Performance!AT8</f>
        <v>1.2615384615384615</v>
      </c>
      <c r="E10" s="505">
        <f>Performance!BI8</f>
        <v>0.2</v>
      </c>
      <c r="F10" s="505">
        <f>Performance!P8</f>
        <v>0.28235294117647058</v>
      </c>
      <c r="G10" s="506" t="s">
        <v>37</v>
      </c>
      <c r="H10" s="2"/>
      <c r="I10" s="2"/>
      <c r="J10" s="2"/>
      <c r="K10" s="2"/>
      <c r="L10" s="2"/>
      <c r="M10" s="2"/>
      <c r="N10" s="2"/>
      <c r="O10" s="2"/>
      <c r="P10" s="2"/>
    </row>
    <row r="11" spans="1:26" ht="21" x14ac:dyDescent="0.35">
      <c r="A11" s="509" t="s">
        <v>313</v>
      </c>
      <c r="B11" s="510">
        <f>Performance!P25</f>
        <v>0.48275862068965519</v>
      </c>
      <c r="C11" s="510">
        <f>Performance!AE9</f>
        <v>7.1428571428571425E-2</v>
      </c>
      <c r="D11" s="510">
        <f>Performance!AT9</f>
        <v>1.2</v>
      </c>
      <c r="E11" s="510">
        <f>Performance!BI9</f>
        <v>0</v>
      </c>
      <c r="F11" s="510">
        <f>Performance!P9</f>
        <v>0.55932203389830504</v>
      </c>
      <c r="G11" s="511" t="s">
        <v>37</v>
      </c>
      <c r="H11" s="2"/>
      <c r="I11" s="2"/>
      <c r="J11" s="2"/>
      <c r="K11" s="2"/>
      <c r="L11" s="2"/>
      <c r="M11" s="2"/>
      <c r="N11" s="2"/>
      <c r="O11" s="2"/>
      <c r="P11" s="2"/>
    </row>
    <row r="12" spans="1:26" ht="42" x14ac:dyDescent="0.35">
      <c r="A12" s="507" t="s">
        <v>312</v>
      </c>
      <c r="B12" s="505">
        <f>Performance!P26</f>
        <v>0.20967741935483872</v>
      </c>
      <c r="C12" s="505">
        <f>Performance!AE10</f>
        <v>1.9607843137254902E-2</v>
      </c>
      <c r="D12" s="505">
        <f>Performance!AT10</f>
        <v>0.7</v>
      </c>
      <c r="E12" s="505">
        <f>Performance!BI10</f>
        <v>6.6666666666666666E-2</v>
      </c>
      <c r="F12" s="505">
        <f>Performance!P10</f>
        <v>0.23</v>
      </c>
      <c r="G12" s="506" t="s">
        <v>37</v>
      </c>
      <c r="H12" s="2"/>
      <c r="I12" s="2"/>
      <c r="J12" s="2"/>
      <c r="K12" s="2"/>
      <c r="L12" s="2"/>
      <c r="M12" s="2"/>
      <c r="N12" s="2"/>
      <c r="O12" s="2"/>
      <c r="P12" s="2"/>
    </row>
    <row r="13" spans="1:26" ht="21" x14ac:dyDescent="0.35">
      <c r="A13" s="509" t="s">
        <v>259</v>
      </c>
      <c r="B13" s="512">
        <f>Expenditures!J2/Performance!O21</f>
        <v>2221.9870736842108</v>
      </c>
      <c r="C13" s="512">
        <f>Performance!AD11</f>
        <v>2860.1604255319153</v>
      </c>
      <c r="D13" s="512">
        <f>Performance!AS11</f>
        <v>892.91082802547771</v>
      </c>
      <c r="E13" s="512">
        <f>Performance!BH11</f>
        <v>4109.2281538461539</v>
      </c>
      <c r="F13" s="512">
        <f>Performance!O11</f>
        <v>1127.6852201257861</v>
      </c>
      <c r="G13" s="511" t="s">
        <v>37</v>
      </c>
      <c r="H13" s="2"/>
      <c r="I13" s="2"/>
      <c r="J13" s="2"/>
      <c r="K13" s="2"/>
      <c r="L13" s="2"/>
      <c r="M13" s="2"/>
      <c r="N13" s="2"/>
      <c r="O13" s="2"/>
      <c r="P13" s="2"/>
    </row>
    <row r="14" spans="1:26" ht="21" x14ac:dyDescent="0.35">
      <c r="A14" s="504" t="s">
        <v>260</v>
      </c>
      <c r="B14" s="508">
        <f>Expenditures!J2/SUM(Performance!O25:O26)</f>
        <v>6989.6944370860938</v>
      </c>
      <c r="C14" s="508">
        <f>Expenditures!E9/SUM(Performance!AD9:AD10)</f>
        <v>33606.885000000002</v>
      </c>
      <c r="D14" s="508">
        <f>Expenditures!E10/SUM(Performance!AS9:AS10)</f>
        <v>1630.0813953488373</v>
      </c>
      <c r="E14" s="508">
        <f>Expenditures!E11/SUM(Performance!BH9:BH10)</f>
        <v>267099.83</v>
      </c>
      <c r="F14" s="508">
        <f>Expenditures!E8/SUM(Performance!O9:O10)</f>
        <v>3201.8205357142861</v>
      </c>
      <c r="G14" s="506" t="s">
        <v>37</v>
      </c>
      <c r="H14" s="2"/>
      <c r="I14" s="2"/>
      <c r="J14" s="2"/>
      <c r="K14" s="2"/>
      <c r="L14" s="2"/>
      <c r="M14" s="2"/>
      <c r="N14" s="2"/>
      <c r="O14" s="2"/>
      <c r="P14" s="2"/>
    </row>
    <row r="15" spans="1:26" ht="21.75" thickBot="1" x14ac:dyDescent="0.4">
      <c r="A15" s="513" t="s">
        <v>261</v>
      </c>
      <c r="B15" s="514">
        <f>Expenditures!J2/2500000</f>
        <v>0.42217754400000002</v>
      </c>
      <c r="C15" s="514">
        <f>Expenditures!H9</f>
        <v>0.67196970757310681</v>
      </c>
      <c r="D15" s="514">
        <f>Expenditures!H10</f>
        <v>0.36891315789473683</v>
      </c>
      <c r="E15" s="514">
        <f>Expenditures!H11</f>
        <v>1.1129159583333335</v>
      </c>
      <c r="F15" s="514">
        <f>Expenditures!H8</f>
        <v>0.44825487500000005</v>
      </c>
      <c r="G15" s="515">
        <f>Expenditures!H7</f>
        <v>0.18520233354940271</v>
      </c>
      <c r="H15" s="2"/>
      <c r="I15" s="2"/>
      <c r="J15" s="2"/>
      <c r="K15" s="2"/>
      <c r="L15" s="2"/>
      <c r="M15" s="2"/>
      <c r="N15" s="2"/>
      <c r="O15" s="2"/>
      <c r="P15" s="2"/>
    </row>
    <row r="16" spans="1:26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</sheetData>
  <mergeCells count="1">
    <mergeCell ref="A1:S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A70D-83F5-4183-B27C-0171E8E23A8C}">
  <sheetPr>
    <tabColor rgb="FFFF0000"/>
  </sheetPr>
  <dimension ref="A1:Y193"/>
  <sheetViews>
    <sheetView showGridLines="0" workbookViewId="0">
      <pane ySplit="26" topLeftCell="A27" activePane="bottomLeft" state="frozen"/>
      <selection activeCell="V3" sqref="V3"/>
      <selection pane="bottomLeft" activeCell="X28" sqref="X28"/>
    </sheetView>
  </sheetViews>
  <sheetFormatPr defaultRowHeight="15" x14ac:dyDescent="0.25"/>
  <cols>
    <col min="1" max="1" width="13.140625" customWidth="1"/>
    <col min="2" max="26" width="10.7109375" customWidth="1"/>
  </cols>
  <sheetData>
    <row r="1" spans="1:16" ht="32.25" thickBot="1" x14ac:dyDescent="0.55000000000000004">
      <c r="A1" s="650" t="s">
        <v>234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2"/>
    </row>
    <row r="2" spans="1:16" x14ac:dyDescent="0.25">
      <c r="A2" s="653" t="s">
        <v>235</v>
      </c>
      <c r="B2" s="363">
        <v>44228</v>
      </c>
      <c r="C2" s="363">
        <v>44378</v>
      </c>
      <c r="D2" s="363">
        <v>44470</v>
      </c>
      <c r="E2" s="363">
        <v>44562</v>
      </c>
      <c r="F2" s="363">
        <v>44652</v>
      </c>
      <c r="G2" s="363">
        <v>44743</v>
      </c>
      <c r="H2" s="363">
        <v>44835</v>
      </c>
      <c r="I2" s="363">
        <v>44927</v>
      </c>
      <c r="J2" s="363">
        <v>45017</v>
      </c>
      <c r="K2" s="363">
        <v>45108</v>
      </c>
      <c r="L2" s="363">
        <v>45200</v>
      </c>
      <c r="M2" s="363">
        <v>45292</v>
      </c>
      <c r="N2" s="363">
        <v>45383</v>
      </c>
      <c r="O2" s="363">
        <v>45474</v>
      </c>
      <c r="P2" s="363">
        <v>45566</v>
      </c>
    </row>
    <row r="3" spans="1:16" x14ac:dyDescent="0.25">
      <c r="A3" s="654"/>
      <c r="B3" s="363" t="s">
        <v>233</v>
      </c>
      <c r="C3" s="363">
        <v>44469</v>
      </c>
      <c r="D3" s="363">
        <f>EOMONTH(D2,2)</f>
        <v>44561</v>
      </c>
      <c r="E3" s="363">
        <f>EOMONTH(E2,2)</f>
        <v>44651</v>
      </c>
      <c r="F3" s="363">
        <f t="shared" ref="F3:K3" si="0">EOMONTH(F2,2)</f>
        <v>44742</v>
      </c>
      <c r="G3" s="363">
        <f t="shared" si="0"/>
        <v>44834</v>
      </c>
      <c r="H3" s="363">
        <f t="shared" si="0"/>
        <v>44926</v>
      </c>
      <c r="I3" s="363">
        <f t="shared" si="0"/>
        <v>45016</v>
      </c>
      <c r="J3" s="363">
        <f t="shared" si="0"/>
        <v>45107</v>
      </c>
      <c r="K3" s="363">
        <f t="shared" si="0"/>
        <v>45199</v>
      </c>
      <c r="L3" s="363">
        <f>EOMONTH(L2,2)</f>
        <v>45291</v>
      </c>
      <c r="M3" s="363">
        <f t="shared" ref="M3" si="1">EOMONTH(M2,2)</f>
        <v>45382</v>
      </c>
      <c r="N3" s="363">
        <f t="shared" ref="N3" si="2">EOMONTH(N2,2)</f>
        <v>45473</v>
      </c>
      <c r="O3" s="363">
        <f t="shared" ref="O3" si="3">EOMONTH(O2,2)</f>
        <v>45565</v>
      </c>
      <c r="P3" s="363">
        <f t="shared" ref="P3" si="4">EOMONTH(P2,2)</f>
        <v>45657</v>
      </c>
    </row>
    <row r="4" spans="1:16" x14ac:dyDescent="0.25">
      <c r="A4" s="292" t="s">
        <v>311</v>
      </c>
      <c r="B4" s="292" t="s">
        <v>207</v>
      </c>
      <c r="C4" s="292" t="s">
        <v>208</v>
      </c>
      <c r="D4" s="292" t="s">
        <v>209</v>
      </c>
      <c r="E4" s="292" t="s">
        <v>210</v>
      </c>
      <c r="F4" s="292" t="s">
        <v>211</v>
      </c>
      <c r="G4" s="292" t="s">
        <v>212</v>
      </c>
      <c r="H4" s="292" t="s">
        <v>213</v>
      </c>
      <c r="I4" s="292" t="s">
        <v>214</v>
      </c>
      <c r="J4" s="292" t="s">
        <v>215</v>
      </c>
      <c r="K4" s="292" t="s">
        <v>216</v>
      </c>
      <c r="L4" s="292" t="s">
        <v>217</v>
      </c>
      <c r="M4" s="292" t="s">
        <v>218</v>
      </c>
      <c r="N4" s="292" t="s">
        <v>219</v>
      </c>
      <c r="O4" s="292" t="s">
        <v>220</v>
      </c>
      <c r="P4" s="292" t="s">
        <v>221</v>
      </c>
    </row>
    <row r="5" spans="1:16" x14ac:dyDescent="0.25">
      <c r="A5" s="304" t="str">
        <f>A37</f>
        <v>Partner 1</v>
      </c>
      <c r="B5" s="305">
        <f>SUMIFS($D$30:$D$500,$A$30:$A$500,A5,$F$30:$F$500,"&gt;="&amp;$B$2,$F$30:$F$500,"&lt;="&amp;$B$3)</f>
        <v>0</v>
      </c>
      <c r="C5" s="305">
        <f t="shared" ref="C5:P5" si="5">SUMIFS($D$30:$D$500,$A$30:$A$500,$A$5,$F$30:$F$500,"&gt;="&amp;C2,$F$30:$F$500,"&lt;="&amp;C3)</f>
        <v>0</v>
      </c>
      <c r="D5" s="305">
        <f t="shared" si="5"/>
        <v>16576.560000000001</v>
      </c>
      <c r="E5" s="305">
        <f t="shared" si="5"/>
        <v>9159.52</v>
      </c>
      <c r="F5" s="305">
        <f t="shared" si="5"/>
        <v>1133.44</v>
      </c>
      <c r="G5" s="305">
        <f t="shared" si="5"/>
        <v>4167.6000000000004</v>
      </c>
      <c r="H5" s="305">
        <f t="shared" si="5"/>
        <v>30411.52</v>
      </c>
      <c r="I5" s="305">
        <f t="shared" si="5"/>
        <v>32190.800000000003</v>
      </c>
      <c r="J5" s="305">
        <f t="shared" si="5"/>
        <v>62303.329199999993</v>
      </c>
      <c r="K5" s="305">
        <f>SUMIFS($D$30:$D$500,$A$30:$A$500,$A$5,$F$30:$F$500,"&gt;="&amp;K2,$F$30:$F$500,"&lt;="&amp;K3)</f>
        <v>0</v>
      </c>
      <c r="L5" s="305">
        <f t="shared" si="5"/>
        <v>0</v>
      </c>
      <c r="M5" s="305">
        <f t="shared" si="5"/>
        <v>0</v>
      </c>
      <c r="N5" s="305">
        <f t="shared" si="5"/>
        <v>0</v>
      </c>
      <c r="O5" s="305">
        <f t="shared" si="5"/>
        <v>0</v>
      </c>
      <c r="P5" s="305">
        <f t="shared" si="5"/>
        <v>0</v>
      </c>
    </row>
    <row r="6" spans="1:16" x14ac:dyDescent="0.25">
      <c r="A6" s="302" t="s">
        <v>263</v>
      </c>
      <c r="B6" s="303">
        <f>SUMIFS($D$30:$D$500,$A$30:$A$500,$A$6,$F$30:$F$500,"&gt;="&amp;B2,$F$30:$F$500,"&lt;="&amp;B3)</f>
        <v>0</v>
      </c>
      <c r="C6" s="303">
        <f t="shared" ref="C6:P6" si="6">SUMIFS($D$30:$D$500,$A$30:$A$500,$A$6,$F$30:$F$500,"&gt;="&amp;C2,$F$30:$F$500,"&lt;="&amp;C3)</f>
        <v>0</v>
      </c>
      <c r="D6" s="303">
        <f t="shared" si="6"/>
        <v>11500</v>
      </c>
      <c r="E6" s="303">
        <f t="shared" si="6"/>
        <v>5750</v>
      </c>
      <c r="F6" s="303">
        <f t="shared" si="6"/>
        <v>0</v>
      </c>
      <c r="G6" s="303">
        <f t="shared" si="6"/>
        <v>40250</v>
      </c>
      <c r="H6" s="303">
        <f t="shared" si="6"/>
        <v>69000</v>
      </c>
      <c r="I6" s="303">
        <f t="shared" si="6"/>
        <v>120750</v>
      </c>
      <c r="J6" s="303">
        <f t="shared" si="6"/>
        <v>51750</v>
      </c>
      <c r="K6" s="303">
        <f t="shared" si="6"/>
        <v>0</v>
      </c>
      <c r="L6" s="303">
        <f t="shared" si="6"/>
        <v>0</v>
      </c>
      <c r="M6" s="303">
        <f t="shared" si="6"/>
        <v>0</v>
      </c>
      <c r="N6" s="303">
        <f t="shared" si="6"/>
        <v>0</v>
      </c>
      <c r="O6" s="303">
        <f t="shared" si="6"/>
        <v>0</v>
      </c>
      <c r="P6" s="303">
        <f t="shared" si="6"/>
        <v>0</v>
      </c>
    </row>
    <row r="7" spans="1:16" x14ac:dyDescent="0.25">
      <c r="A7" s="306" t="s">
        <v>262</v>
      </c>
      <c r="B7" s="307">
        <f>SUMIFS($D$30:$D$500,$A$30:$A$500,$A$7,$F$30:$F$500,"&gt;="&amp;B2,$F$30:$F$500,"&lt;="&amp;B3)</f>
        <v>0</v>
      </c>
      <c r="C7" s="307">
        <f t="shared" ref="C7:P7" si="7">SUMIFS($D$30:$D$500,$A$30:$A$500,$A$7,$F$30:$F$500,"&gt;="&amp;C2,$F$30:$F$500,"&lt;="&amp;C3)</f>
        <v>0</v>
      </c>
      <c r="D7" s="307">
        <f t="shared" si="7"/>
        <v>0</v>
      </c>
      <c r="E7" s="307">
        <f t="shared" si="7"/>
        <v>64400</v>
      </c>
      <c r="F7" s="307">
        <f t="shared" si="7"/>
        <v>28750</v>
      </c>
      <c r="G7" s="307">
        <f t="shared" si="7"/>
        <v>58650</v>
      </c>
      <c r="H7" s="307">
        <f t="shared" si="7"/>
        <v>20700</v>
      </c>
      <c r="I7" s="307">
        <f t="shared" si="7"/>
        <v>39100</v>
      </c>
      <c r="J7" s="307">
        <f t="shared" si="7"/>
        <v>20700</v>
      </c>
      <c r="K7" s="307">
        <f t="shared" si="7"/>
        <v>0</v>
      </c>
      <c r="L7" s="307">
        <f t="shared" si="7"/>
        <v>0</v>
      </c>
      <c r="M7" s="307">
        <f t="shared" si="7"/>
        <v>0</v>
      </c>
      <c r="N7" s="307">
        <f t="shared" si="7"/>
        <v>0</v>
      </c>
      <c r="O7" s="307">
        <f t="shared" si="7"/>
        <v>0</v>
      </c>
      <c r="P7" s="307">
        <f t="shared" si="7"/>
        <v>0</v>
      </c>
    </row>
    <row r="8" spans="1:16" x14ac:dyDescent="0.25">
      <c r="A8" s="308" t="s">
        <v>265</v>
      </c>
      <c r="B8" s="309">
        <f>SUMIFS($D$30:$D$500,$A$30:$A$500,$A$8,$F$30:$F$500,"&gt;="&amp;B2,$F$30:$F$500,"&lt;="&amp;B3)</f>
        <v>0</v>
      </c>
      <c r="C8" s="309">
        <f t="shared" ref="C8:P8" si="8">SUMIFS($D$30:$D$500,$A$30:$A$500,$A$8,$F$30:$F$500,"&gt;="&amp;C2,$F$30:$F$500,"&lt;="&amp;C3)</f>
        <v>0</v>
      </c>
      <c r="D8" s="309">
        <f t="shared" si="8"/>
        <v>21801.722999999998</v>
      </c>
      <c r="E8" s="309">
        <f t="shared" si="8"/>
        <v>25292.754999999997</v>
      </c>
      <c r="F8" s="309">
        <f t="shared" si="8"/>
        <v>33019.248500000002</v>
      </c>
      <c r="G8" s="309">
        <f t="shared" si="8"/>
        <v>26402.965</v>
      </c>
      <c r="H8" s="309">
        <f t="shared" si="8"/>
        <v>16871.339499999998</v>
      </c>
      <c r="I8" s="309">
        <f t="shared" si="8"/>
        <v>11401.973999999998</v>
      </c>
      <c r="J8" s="309">
        <f t="shared" si="8"/>
        <v>13769.168499999996</v>
      </c>
      <c r="K8" s="309">
        <f t="shared" si="8"/>
        <v>42.503999999999998</v>
      </c>
      <c r="L8" s="309">
        <f t="shared" si="8"/>
        <v>0</v>
      </c>
      <c r="M8" s="309">
        <f t="shared" si="8"/>
        <v>0</v>
      </c>
      <c r="N8" s="309">
        <f t="shared" si="8"/>
        <v>0</v>
      </c>
      <c r="O8" s="309">
        <f t="shared" si="8"/>
        <v>0</v>
      </c>
      <c r="P8" s="309">
        <f t="shared" si="8"/>
        <v>0</v>
      </c>
    </row>
    <row r="9" spans="1:16" x14ac:dyDescent="0.25">
      <c r="A9" s="310" t="s">
        <v>222</v>
      </c>
      <c r="B9" s="311">
        <f>SUM(B5:B8)</f>
        <v>0</v>
      </c>
      <c r="C9" s="311">
        <f t="shared" ref="C9:P9" si="9">SUM(C5:C8)</f>
        <v>0</v>
      </c>
      <c r="D9" s="311">
        <f t="shared" si="9"/>
        <v>49878.282999999996</v>
      </c>
      <c r="E9" s="311">
        <f t="shared" si="9"/>
        <v>104602.27499999999</v>
      </c>
      <c r="F9" s="311">
        <f t="shared" si="9"/>
        <v>62902.688500000004</v>
      </c>
      <c r="G9" s="311">
        <f t="shared" si="9"/>
        <v>129470.565</v>
      </c>
      <c r="H9" s="311">
        <f t="shared" si="9"/>
        <v>136982.85949999999</v>
      </c>
      <c r="I9" s="311">
        <f t="shared" si="9"/>
        <v>203442.77399999998</v>
      </c>
      <c r="J9" s="311">
        <f t="shared" si="9"/>
        <v>148522.49769999998</v>
      </c>
      <c r="K9" s="311">
        <f t="shared" si="9"/>
        <v>42.503999999999998</v>
      </c>
      <c r="L9" s="311">
        <f t="shared" si="9"/>
        <v>0</v>
      </c>
      <c r="M9" s="311">
        <f t="shared" si="9"/>
        <v>0</v>
      </c>
      <c r="N9" s="311">
        <f t="shared" si="9"/>
        <v>0</v>
      </c>
      <c r="O9" s="311">
        <f t="shared" si="9"/>
        <v>0</v>
      </c>
      <c r="P9" s="311">
        <f t="shared" si="9"/>
        <v>0</v>
      </c>
    </row>
    <row r="28" spans="1:25" ht="28.5" customHeight="1" x14ac:dyDescent="0.25">
      <c r="A28" s="371" t="s">
        <v>242</v>
      </c>
      <c r="B28" s="372"/>
      <c r="C28" s="372"/>
      <c r="D28" s="372"/>
      <c r="E28" s="372"/>
      <c r="F28" s="373"/>
      <c r="H28" s="2"/>
      <c r="I28" s="2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58">
        <v>45474</v>
      </c>
      <c r="X28" s="358">
        <v>45566</v>
      </c>
    </row>
    <row r="29" spans="1:25" ht="30" x14ac:dyDescent="0.25">
      <c r="A29" s="172" t="s">
        <v>102</v>
      </c>
      <c r="B29" s="172" t="s">
        <v>101</v>
      </c>
      <c r="C29" s="172" t="s">
        <v>100</v>
      </c>
      <c r="D29" s="172" t="s">
        <v>99</v>
      </c>
      <c r="E29" s="172" t="s">
        <v>98</v>
      </c>
      <c r="F29" s="172" t="s">
        <v>97</v>
      </c>
      <c r="G29" s="365"/>
      <c r="H29" s="2"/>
      <c r="I29" s="2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2"/>
    </row>
    <row r="30" spans="1:25" x14ac:dyDescent="0.25">
      <c r="A30" s="172" t="s">
        <v>264</v>
      </c>
      <c r="B30" s="172"/>
      <c r="C30" s="172">
        <v>0</v>
      </c>
      <c r="D30" s="316">
        <v>14577.400000000001</v>
      </c>
      <c r="E30" s="172"/>
      <c r="F30" s="317">
        <v>44539</v>
      </c>
      <c r="G30" s="17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customHeight="1" x14ac:dyDescent="0.25">
      <c r="A31" s="172" t="s">
        <v>264</v>
      </c>
      <c r="B31" s="172"/>
      <c r="C31" s="172">
        <v>0</v>
      </c>
      <c r="D31" s="316">
        <v>1999.1599999999999</v>
      </c>
      <c r="E31" s="172"/>
      <c r="F31" s="317">
        <v>44552</v>
      </c>
      <c r="G31" s="173"/>
      <c r="H31" s="2"/>
      <c r="I31" s="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2"/>
    </row>
    <row r="32" spans="1:25" ht="15" customHeight="1" x14ac:dyDescent="0.25">
      <c r="A32" s="172" t="s">
        <v>264</v>
      </c>
      <c r="B32" s="172"/>
      <c r="C32" s="172">
        <v>0</v>
      </c>
      <c r="D32" s="316">
        <v>763.59999999999991</v>
      </c>
      <c r="E32" s="172"/>
      <c r="F32" s="317">
        <v>44574</v>
      </c>
      <c r="G32" s="173"/>
      <c r="H32" s="2"/>
      <c r="I32" s="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  <c r="X32" s="362"/>
      <c r="Y32" s="2"/>
    </row>
    <row r="33" spans="1:25" ht="15" customHeight="1" x14ac:dyDescent="0.25">
      <c r="A33" s="172" t="s">
        <v>264</v>
      </c>
      <c r="B33" s="172"/>
      <c r="C33" s="172">
        <v>0</v>
      </c>
      <c r="D33" s="316">
        <v>-550.16</v>
      </c>
      <c r="E33" s="172"/>
      <c r="F33" s="317">
        <v>44581</v>
      </c>
      <c r="G33" s="173"/>
      <c r="H33" s="2"/>
      <c r="I33" s="360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2"/>
    </row>
    <row r="34" spans="1:25" ht="15" customHeight="1" x14ac:dyDescent="0.25">
      <c r="A34" s="172" t="s">
        <v>264</v>
      </c>
      <c r="B34" s="172"/>
      <c r="C34" s="172">
        <v>0</v>
      </c>
      <c r="D34" s="316">
        <v>1388.28</v>
      </c>
      <c r="E34" s="172"/>
      <c r="F34" s="317">
        <v>44594</v>
      </c>
      <c r="G34" s="173"/>
      <c r="H34" s="2"/>
      <c r="I34" s="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  <c r="X34" s="362"/>
      <c r="Y34" s="2"/>
    </row>
    <row r="35" spans="1:25" ht="15" customHeight="1" x14ac:dyDescent="0.25">
      <c r="A35" s="172" t="s">
        <v>264</v>
      </c>
      <c r="B35" s="172"/>
      <c r="C35" s="172">
        <v>0</v>
      </c>
      <c r="D35" s="316">
        <v>294.40000000000003</v>
      </c>
      <c r="E35" s="172"/>
      <c r="F35" s="317">
        <v>44608</v>
      </c>
      <c r="G35" s="173"/>
      <c r="H35" s="2"/>
      <c r="I35" s="2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2"/>
    </row>
    <row r="36" spans="1:25" x14ac:dyDescent="0.25">
      <c r="A36" s="172" t="s">
        <v>264</v>
      </c>
      <c r="B36" s="172"/>
      <c r="C36" s="172">
        <v>0</v>
      </c>
      <c r="D36" s="316">
        <v>7263.4000000000005</v>
      </c>
      <c r="E36" s="172"/>
      <c r="F36" s="317">
        <v>44643</v>
      </c>
      <c r="G36" s="17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72" t="s">
        <v>264</v>
      </c>
      <c r="B37" s="172"/>
      <c r="C37" s="172">
        <v>0</v>
      </c>
      <c r="D37" s="316">
        <v>630.19999999999993</v>
      </c>
      <c r="E37" s="172"/>
      <c r="F37" s="359">
        <v>44671</v>
      </c>
      <c r="G37" s="17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5" x14ac:dyDescent="0.25">
      <c r="A38" s="172" t="s">
        <v>264</v>
      </c>
      <c r="B38" s="172"/>
      <c r="C38" s="172">
        <v>0</v>
      </c>
      <c r="D38" s="316">
        <v>503.24</v>
      </c>
      <c r="E38" s="172"/>
      <c r="F38" s="317">
        <v>44706</v>
      </c>
      <c r="G38" s="17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5" x14ac:dyDescent="0.25">
      <c r="A39" s="172" t="s">
        <v>264</v>
      </c>
      <c r="B39" s="172"/>
      <c r="C39" s="172">
        <v>0</v>
      </c>
      <c r="D39" s="316">
        <v>2155.56</v>
      </c>
      <c r="E39" s="172"/>
      <c r="F39" s="317">
        <v>44769</v>
      </c>
      <c r="G39" s="17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5" x14ac:dyDescent="0.25">
      <c r="A40" s="172" t="s">
        <v>264</v>
      </c>
      <c r="B40" s="172"/>
      <c r="C40" s="172">
        <v>0</v>
      </c>
      <c r="D40" s="316">
        <v>-212.51999999999998</v>
      </c>
      <c r="E40" s="172"/>
      <c r="F40" s="317">
        <v>44776</v>
      </c>
      <c r="G40" s="17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5" x14ac:dyDescent="0.25">
      <c r="A41" s="172" t="s">
        <v>264</v>
      </c>
      <c r="B41" s="172"/>
      <c r="C41" s="172">
        <v>0</v>
      </c>
      <c r="D41" s="316">
        <v>970.6</v>
      </c>
      <c r="E41" s="172"/>
      <c r="F41" s="317">
        <v>44791</v>
      </c>
      <c r="G41" s="17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5" x14ac:dyDescent="0.25">
      <c r="A42" s="172" t="s">
        <v>264</v>
      </c>
      <c r="B42" s="172"/>
      <c r="C42" s="172">
        <v>0</v>
      </c>
      <c r="D42" s="316">
        <v>1253.96</v>
      </c>
      <c r="E42" s="172"/>
      <c r="F42" s="317">
        <v>44825</v>
      </c>
      <c r="G42" s="17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5" x14ac:dyDescent="0.25">
      <c r="A43" s="172" t="s">
        <v>264</v>
      </c>
      <c r="B43" s="172"/>
      <c r="C43" s="172">
        <v>0</v>
      </c>
      <c r="D43" s="316">
        <v>1441.64</v>
      </c>
      <c r="E43" s="172"/>
      <c r="F43" s="317">
        <v>44839</v>
      </c>
      <c r="G43" s="17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5" x14ac:dyDescent="0.25">
      <c r="A44" s="172" t="s">
        <v>264</v>
      </c>
      <c r="B44" s="172"/>
      <c r="C44" s="172">
        <v>0</v>
      </c>
      <c r="D44" s="316">
        <v>1667.96</v>
      </c>
      <c r="E44" s="172"/>
      <c r="F44" s="317">
        <v>44846</v>
      </c>
      <c r="G44" s="17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5" x14ac:dyDescent="0.25">
      <c r="A45" s="172" t="s">
        <v>264</v>
      </c>
      <c r="B45" s="172"/>
      <c r="C45" s="172">
        <v>0</v>
      </c>
      <c r="D45" s="316">
        <v>1694.6399999999999</v>
      </c>
      <c r="E45" s="172"/>
      <c r="F45" s="317">
        <v>44867</v>
      </c>
      <c r="G45" s="17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5" x14ac:dyDescent="0.25">
      <c r="A46" s="172" t="s">
        <v>264</v>
      </c>
      <c r="B46" s="172"/>
      <c r="C46" s="172">
        <v>0</v>
      </c>
      <c r="D46" s="316">
        <v>13281.119999999999</v>
      </c>
      <c r="E46" s="172"/>
      <c r="F46" s="317">
        <v>44888</v>
      </c>
      <c r="G46" s="17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5" x14ac:dyDescent="0.25">
      <c r="A47" s="172" t="s">
        <v>264</v>
      </c>
      <c r="B47" s="172"/>
      <c r="C47" s="172">
        <v>0</v>
      </c>
      <c r="D47" s="316">
        <v>12326.16</v>
      </c>
      <c r="E47" s="172"/>
      <c r="F47" s="317">
        <v>44917</v>
      </c>
      <c r="G47" s="173"/>
    </row>
    <row r="48" spans="1:25" x14ac:dyDescent="0.25">
      <c r="A48" s="172" t="s">
        <v>264</v>
      </c>
      <c r="B48" s="172"/>
      <c r="C48" s="172">
        <v>0</v>
      </c>
      <c r="D48" s="316">
        <v>10167.84</v>
      </c>
      <c r="E48" s="172"/>
      <c r="F48" s="317">
        <v>44944</v>
      </c>
      <c r="G48" s="173"/>
    </row>
    <row r="49" spans="1:7" x14ac:dyDescent="0.25">
      <c r="A49" s="172" t="s">
        <v>264</v>
      </c>
      <c r="B49" s="172"/>
      <c r="C49" s="172">
        <v>0</v>
      </c>
      <c r="D49" s="316">
        <v>951.28</v>
      </c>
      <c r="E49" s="172"/>
      <c r="F49" s="317">
        <v>44965</v>
      </c>
      <c r="G49" s="173"/>
    </row>
    <row r="50" spans="1:7" x14ac:dyDescent="0.25">
      <c r="A50" s="172" t="s">
        <v>264</v>
      </c>
      <c r="B50" s="172"/>
      <c r="C50" s="172">
        <v>0</v>
      </c>
      <c r="D50" s="316">
        <v>8903.76</v>
      </c>
      <c r="E50" s="172"/>
      <c r="F50" s="317">
        <v>44979</v>
      </c>
      <c r="G50" s="173"/>
    </row>
    <row r="51" spans="1:7" x14ac:dyDescent="0.25">
      <c r="A51" s="172" t="s">
        <v>264</v>
      </c>
      <c r="B51" s="172"/>
      <c r="C51" s="172">
        <v>0</v>
      </c>
      <c r="D51" s="316">
        <v>797.64</v>
      </c>
      <c r="E51" s="172"/>
      <c r="F51" s="317">
        <v>45000</v>
      </c>
      <c r="G51" s="173"/>
    </row>
    <row r="52" spans="1:7" x14ac:dyDescent="0.25">
      <c r="A52" s="172" t="s">
        <v>264</v>
      </c>
      <c r="B52" s="172"/>
      <c r="C52" s="172">
        <v>0</v>
      </c>
      <c r="D52" s="316">
        <v>15334.559999999998</v>
      </c>
      <c r="E52" s="172"/>
      <c r="F52" s="317">
        <v>45008</v>
      </c>
      <c r="G52" s="173"/>
    </row>
    <row r="53" spans="1:7" x14ac:dyDescent="0.25">
      <c r="A53" s="172" t="s">
        <v>264</v>
      </c>
      <c r="B53" s="172"/>
      <c r="C53" s="172">
        <v>0</v>
      </c>
      <c r="D53" s="316">
        <v>-3964.2799999999997</v>
      </c>
      <c r="E53" s="172"/>
      <c r="F53" s="317">
        <v>45014</v>
      </c>
      <c r="G53" s="173"/>
    </row>
    <row r="54" spans="1:7" x14ac:dyDescent="0.25">
      <c r="A54" s="172" t="s">
        <v>264</v>
      </c>
      <c r="B54" s="172"/>
      <c r="C54" s="172">
        <v>0</v>
      </c>
      <c r="D54" s="316">
        <v>212.51999999999998</v>
      </c>
      <c r="E54" s="172"/>
      <c r="F54" s="317">
        <v>45021</v>
      </c>
      <c r="G54" s="173"/>
    </row>
    <row r="55" spans="1:7" x14ac:dyDescent="0.25">
      <c r="A55" s="172" t="s">
        <v>264</v>
      </c>
      <c r="B55" s="172"/>
      <c r="C55" s="172">
        <v>0</v>
      </c>
      <c r="D55" s="316">
        <v>16386.12</v>
      </c>
      <c r="E55" s="172"/>
      <c r="F55" s="317">
        <v>45035</v>
      </c>
      <c r="G55" s="173"/>
    </row>
    <row r="56" spans="1:7" x14ac:dyDescent="0.25">
      <c r="A56" s="172" t="s">
        <v>264</v>
      </c>
      <c r="B56" s="172"/>
      <c r="C56" s="172">
        <v>0</v>
      </c>
      <c r="D56" s="316">
        <v>10129.199999999999</v>
      </c>
      <c r="E56" s="172"/>
      <c r="F56" s="317">
        <v>45057</v>
      </c>
      <c r="G56" s="173"/>
    </row>
    <row r="57" spans="1:7" x14ac:dyDescent="0.25">
      <c r="A57" s="172" t="s">
        <v>264</v>
      </c>
      <c r="B57" s="172"/>
      <c r="C57" s="172">
        <v>0</v>
      </c>
      <c r="D57" s="316">
        <v>-9144.8000000000011</v>
      </c>
      <c r="E57" s="172"/>
      <c r="F57" s="317">
        <v>45063</v>
      </c>
      <c r="G57" s="173"/>
    </row>
    <row r="58" spans="1:7" x14ac:dyDescent="0.25">
      <c r="A58" s="172" t="s">
        <v>264</v>
      </c>
      <c r="B58" s="172"/>
      <c r="C58" s="172">
        <v>0</v>
      </c>
      <c r="D58" s="316">
        <v>18400</v>
      </c>
      <c r="E58" s="172"/>
      <c r="F58" s="317">
        <v>45070</v>
      </c>
      <c r="G58" s="173"/>
    </row>
    <row r="59" spans="1:7" x14ac:dyDescent="0.25">
      <c r="A59" s="172" t="s">
        <v>264</v>
      </c>
      <c r="B59" s="172"/>
      <c r="C59" s="172">
        <v>0</v>
      </c>
      <c r="D59" s="316">
        <v>-560.27080000000001</v>
      </c>
      <c r="E59" s="172"/>
      <c r="F59" s="317">
        <v>45077</v>
      </c>
      <c r="G59" s="173"/>
    </row>
    <row r="60" spans="1:7" x14ac:dyDescent="0.25">
      <c r="A60" s="172" t="s">
        <v>264</v>
      </c>
      <c r="B60" s="172"/>
      <c r="C60" s="172">
        <v>0</v>
      </c>
      <c r="D60" s="316">
        <v>460</v>
      </c>
      <c r="E60" s="172"/>
      <c r="F60" s="317">
        <v>45084</v>
      </c>
      <c r="G60" s="173"/>
    </row>
    <row r="61" spans="1:7" x14ac:dyDescent="0.25">
      <c r="A61" s="172" t="s">
        <v>264</v>
      </c>
      <c r="B61" s="172"/>
      <c r="C61" s="172">
        <v>0</v>
      </c>
      <c r="D61" s="316">
        <v>644</v>
      </c>
      <c r="E61" s="172"/>
      <c r="F61" s="317">
        <v>45091</v>
      </c>
      <c r="G61" s="173"/>
    </row>
    <row r="62" spans="1:7" x14ac:dyDescent="0.25">
      <c r="A62" s="172" t="s">
        <v>264</v>
      </c>
      <c r="B62" s="172"/>
      <c r="C62" s="172">
        <v>0</v>
      </c>
      <c r="D62" s="316">
        <v>25776.559999999998</v>
      </c>
      <c r="E62" s="172"/>
      <c r="F62" s="317">
        <v>45099</v>
      </c>
      <c r="G62" s="173"/>
    </row>
    <row r="63" spans="1:7" x14ac:dyDescent="0.25">
      <c r="A63" s="172" t="s">
        <v>263</v>
      </c>
      <c r="B63" s="172"/>
      <c r="C63" s="172">
        <v>0</v>
      </c>
      <c r="D63" s="316">
        <v>11500</v>
      </c>
      <c r="E63" s="172"/>
      <c r="F63" s="317">
        <v>44550</v>
      </c>
      <c r="G63" s="173"/>
    </row>
    <row r="64" spans="1:7" x14ac:dyDescent="0.25">
      <c r="A64" s="172" t="s">
        <v>263</v>
      </c>
      <c r="B64" s="172"/>
      <c r="C64" s="172">
        <v>0</v>
      </c>
      <c r="D64" s="316">
        <v>5750</v>
      </c>
      <c r="E64" s="172"/>
      <c r="F64" s="317">
        <v>44648</v>
      </c>
      <c r="G64" s="173"/>
    </row>
    <row r="65" spans="1:7" x14ac:dyDescent="0.25">
      <c r="A65" s="172" t="s">
        <v>263</v>
      </c>
      <c r="B65" s="172"/>
      <c r="C65" s="172">
        <v>0</v>
      </c>
      <c r="D65" s="316">
        <v>5750</v>
      </c>
      <c r="E65" s="172"/>
      <c r="F65" s="317">
        <v>44760</v>
      </c>
      <c r="G65" s="173"/>
    </row>
    <row r="66" spans="1:7" x14ac:dyDescent="0.25">
      <c r="A66" s="172" t="s">
        <v>263</v>
      </c>
      <c r="B66" s="172"/>
      <c r="C66" s="172">
        <v>0</v>
      </c>
      <c r="D66" s="316">
        <v>5750</v>
      </c>
      <c r="E66" s="172"/>
      <c r="F66" s="317">
        <v>44790</v>
      </c>
      <c r="G66" s="173"/>
    </row>
    <row r="67" spans="1:7" x14ac:dyDescent="0.25">
      <c r="A67" s="172" t="s">
        <v>263</v>
      </c>
      <c r="B67" s="172"/>
      <c r="C67" s="172">
        <v>0</v>
      </c>
      <c r="D67" s="316">
        <v>23000</v>
      </c>
      <c r="E67" s="172"/>
      <c r="F67" s="317">
        <v>44825</v>
      </c>
      <c r="G67" s="173"/>
    </row>
    <row r="68" spans="1:7" x14ac:dyDescent="0.25">
      <c r="A68" s="172" t="s">
        <v>263</v>
      </c>
      <c r="B68" s="172"/>
      <c r="C68" s="172">
        <v>0</v>
      </c>
      <c r="D68" s="316">
        <v>5750</v>
      </c>
      <c r="E68" s="172"/>
      <c r="F68" s="317">
        <v>44831</v>
      </c>
      <c r="G68" s="173"/>
    </row>
    <row r="69" spans="1:7" x14ac:dyDescent="0.25">
      <c r="A69" s="172" t="s">
        <v>263</v>
      </c>
      <c r="B69" s="172"/>
      <c r="C69" s="172">
        <v>0</v>
      </c>
      <c r="D69" s="316">
        <v>5750</v>
      </c>
      <c r="E69" s="172"/>
      <c r="F69" s="317">
        <v>44844</v>
      </c>
      <c r="G69" s="173"/>
    </row>
    <row r="70" spans="1:7" x14ac:dyDescent="0.25">
      <c r="A70" s="172" t="s">
        <v>263</v>
      </c>
      <c r="B70" s="172"/>
      <c r="C70" s="172">
        <v>0</v>
      </c>
      <c r="D70" s="316">
        <v>55199.999999999993</v>
      </c>
      <c r="E70" s="172"/>
      <c r="F70" s="317">
        <v>44851</v>
      </c>
      <c r="G70" s="173"/>
    </row>
    <row r="71" spans="1:7" x14ac:dyDescent="0.25">
      <c r="A71" s="172" t="s">
        <v>263</v>
      </c>
      <c r="B71" s="172"/>
      <c r="C71" s="172">
        <v>0</v>
      </c>
      <c r="D71" s="316">
        <v>-34500</v>
      </c>
      <c r="E71" s="172"/>
      <c r="F71" s="317">
        <v>44854</v>
      </c>
      <c r="G71" s="173"/>
    </row>
    <row r="72" spans="1:7" x14ac:dyDescent="0.25">
      <c r="A72" s="172" t="s">
        <v>263</v>
      </c>
      <c r="B72" s="172"/>
      <c r="C72" s="172">
        <v>0</v>
      </c>
      <c r="D72" s="316">
        <v>13799.999999999998</v>
      </c>
      <c r="E72" s="172"/>
      <c r="F72" s="317">
        <v>44872</v>
      </c>
      <c r="G72" s="173"/>
    </row>
    <row r="73" spans="1:7" x14ac:dyDescent="0.25">
      <c r="A73" s="172" t="s">
        <v>263</v>
      </c>
      <c r="B73" s="172"/>
      <c r="C73" s="172">
        <v>0</v>
      </c>
      <c r="D73" s="316">
        <v>11500</v>
      </c>
      <c r="E73" s="172"/>
      <c r="F73" s="317">
        <v>44893</v>
      </c>
      <c r="G73" s="173"/>
    </row>
    <row r="74" spans="1:7" x14ac:dyDescent="0.25">
      <c r="A74" s="172" t="s">
        <v>263</v>
      </c>
      <c r="B74" s="172"/>
      <c r="C74" s="172">
        <v>0</v>
      </c>
      <c r="D74" s="316">
        <v>5750</v>
      </c>
      <c r="E74" s="172"/>
      <c r="F74" s="317">
        <v>44900</v>
      </c>
      <c r="G74" s="173"/>
    </row>
    <row r="75" spans="1:7" x14ac:dyDescent="0.25">
      <c r="A75" s="172" t="s">
        <v>263</v>
      </c>
      <c r="B75" s="172"/>
      <c r="C75" s="172">
        <v>0</v>
      </c>
      <c r="D75" s="316">
        <v>11500</v>
      </c>
      <c r="E75" s="172"/>
      <c r="F75" s="317">
        <v>44917</v>
      </c>
      <c r="G75" s="173"/>
    </row>
    <row r="76" spans="1:7" x14ac:dyDescent="0.25">
      <c r="A76" s="172" t="s">
        <v>263</v>
      </c>
      <c r="B76" s="172"/>
      <c r="C76" s="172">
        <v>0</v>
      </c>
      <c r="D76" s="316">
        <v>11500</v>
      </c>
      <c r="E76" s="172"/>
      <c r="F76" s="317">
        <v>44935</v>
      </c>
      <c r="G76" s="173"/>
    </row>
    <row r="77" spans="1:7" x14ac:dyDescent="0.25">
      <c r="A77" s="172" t="s">
        <v>263</v>
      </c>
      <c r="B77" s="172"/>
      <c r="C77" s="172">
        <v>0</v>
      </c>
      <c r="D77" s="316">
        <v>17250</v>
      </c>
      <c r="E77" s="172"/>
      <c r="F77" s="317">
        <v>44945</v>
      </c>
      <c r="G77" s="173"/>
    </row>
    <row r="78" spans="1:7" x14ac:dyDescent="0.25">
      <c r="A78" s="172" t="s">
        <v>263</v>
      </c>
      <c r="B78" s="172"/>
      <c r="C78" s="172">
        <v>0</v>
      </c>
      <c r="D78" s="316">
        <v>17250</v>
      </c>
      <c r="E78" s="172"/>
      <c r="F78" s="317">
        <v>44973</v>
      </c>
      <c r="G78" s="173"/>
    </row>
    <row r="79" spans="1:7" x14ac:dyDescent="0.25">
      <c r="A79" s="172" t="s">
        <v>263</v>
      </c>
      <c r="B79" s="172"/>
      <c r="C79" s="172">
        <v>0</v>
      </c>
      <c r="D79" s="316">
        <v>40250</v>
      </c>
      <c r="E79" s="172"/>
      <c r="F79" s="317">
        <v>44978</v>
      </c>
      <c r="G79" s="173"/>
    </row>
    <row r="80" spans="1:7" x14ac:dyDescent="0.25">
      <c r="A80" s="172" t="s">
        <v>263</v>
      </c>
      <c r="B80" s="172"/>
      <c r="C80" s="172">
        <v>0</v>
      </c>
      <c r="D80" s="316">
        <v>17250</v>
      </c>
      <c r="E80" s="172"/>
      <c r="F80" s="317">
        <v>45005</v>
      </c>
      <c r="G80" s="173"/>
    </row>
    <row r="81" spans="1:7" x14ac:dyDescent="0.25">
      <c r="A81" s="172" t="s">
        <v>263</v>
      </c>
      <c r="B81" s="172"/>
      <c r="C81" s="172">
        <v>0</v>
      </c>
      <c r="D81" s="316">
        <v>17250</v>
      </c>
      <c r="E81" s="172"/>
      <c r="F81" s="317">
        <v>45012</v>
      </c>
      <c r="G81" s="173"/>
    </row>
    <row r="82" spans="1:7" x14ac:dyDescent="0.25">
      <c r="A82" s="172" t="s">
        <v>263</v>
      </c>
      <c r="B82" s="172"/>
      <c r="C82" s="172">
        <v>0</v>
      </c>
      <c r="D82" s="316">
        <v>5750</v>
      </c>
      <c r="E82" s="172"/>
      <c r="F82" s="317">
        <v>45028</v>
      </c>
      <c r="G82" s="173"/>
    </row>
    <row r="83" spans="1:7" x14ac:dyDescent="0.25">
      <c r="A83" s="172" t="s">
        <v>263</v>
      </c>
      <c r="B83" s="172"/>
      <c r="C83" s="172">
        <v>0</v>
      </c>
      <c r="D83" s="316">
        <v>5750</v>
      </c>
      <c r="E83" s="172"/>
      <c r="F83" s="317">
        <v>45043</v>
      </c>
      <c r="G83" s="173"/>
    </row>
    <row r="84" spans="1:7" x14ac:dyDescent="0.25">
      <c r="A84" s="172" t="s">
        <v>263</v>
      </c>
      <c r="B84" s="172"/>
      <c r="C84" s="172">
        <v>0</v>
      </c>
      <c r="D84" s="316">
        <v>17250</v>
      </c>
      <c r="E84" s="172"/>
      <c r="F84" s="317">
        <v>45068</v>
      </c>
      <c r="G84" s="173"/>
    </row>
    <row r="85" spans="1:7" x14ac:dyDescent="0.25">
      <c r="A85" s="172" t="s">
        <v>263</v>
      </c>
      <c r="B85" s="172"/>
      <c r="C85" s="172">
        <v>0</v>
      </c>
      <c r="D85" s="316">
        <v>11500</v>
      </c>
      <c r="E85" s="172"/>
      <c r="F85" s="317">
        <v>45083</v>
      </c>
      <c r="G85" s="173"/>
    </row>
    <row r="86" spans="1:7" x14ac:dyDescent="0.25">
      <c r="A86" s="172" t="s">
        <v>263</v>
      </c>
      <c r="B86" s="172"/>
      <c r="C86" s="172">
        <v>0</v>
      </c>
      <c r="D86" s="316">
        <v>11500</v>
      </c>
      <c r="E86" s="172"/>
      <c r="F86" s="317">
        <v>45097</v>
      </c>
      <c r="G86" s="173"/>
    </row>
    <row r="87" spans="1:7" x14ac:dyDescent="0.25">
      <c r="A87" s="172" t="s">
        <v>265</v>
      </c>
      <c r="B87" s="172"/>
      <c r="C87" s="172">
        <v>0</v>
      </c>
      <c r="D87" s="316">
        <v>16959.981499999998</v>
      </c>
      <c r="E87" s="172"/>
      <c r="F87" s="317">
        <v>44537</v>
      </c>
      <c r="G87" s="173"/>
    </row>
    <row r="88" spans="1:7" x14ac:dyDescent="0.25">
      <c r="A88" s="172" t="s">
        <v>265</v>
      </c>
      <c r="B88" s="172"/>
      <c r="C88" s="172">
        <v>0</v>
      </c>
      <c r="D88" s="316">
        <v>2275.7694999999999</v>
      </c>
      <c r="E88" s="172"/>
      <c r="F88" s="317">
        <v>44544</v>
      </c>
      <c r="G88" s="173"/>
    </row>
    <row r="89" spans="1:7" x14ac:dyDescent="0.25">
      <c r="A89" s="172" t="s">
        <v>265</v>
      </c>
      <c r="B89" s="172"/>
      <c r="C89" s="172">
        <v>0</v>
      </c>
      <c r="D89" s="316">
        <v>2565.9720000000002</v>
      </c>
      <c r="E89" s="172"/>
      <c r="F89" s="317">
        <v>44552</v>
      </c>
      <c r="G89" s="173"/>
    </row>
    <row r="90" spans="1:7" x14ac:dyDescent="0.25">
      <c r="A90" s="172" t="s">
        <v>265</v>
      </c>
      <c r="B90" s="172"/>
      <c r="C90" s="172">
        <v>0</v>
      </c>
      <c r="D90" s="316">
        <v>3449.6089999999995</v>
      </c>
      <c r="E90" s="172"/>
      <c r="F90" s="317">
        <v>44571</v>
      </c>
      <c r="G90" s="173"/>
    </row>
    <row r="91" spans="1:7" x14ac:dyDescent="0.25">
      <c r="A91" s="172" t="s">
        <v>265</v>
      </c>
      <c r="B91" s="172"/>
      <c r="C91" s="172">
        <v>0</v>
      </c>
      <c r="D91" s="316">
        <v>-4379.0964999999997</v>
      </c>
      <c r="E91" s="172"/>
      <c r="F91" s="317">
        <v>44580</v>
      </c>
      <c r="G91" s="173"/>
    </row>
    <row r="92" spans="1:7" x14ac:dyDescent="0.25">
      <c r="A92" s="172" t="s">
        <v>265</v>
      </c>
      <c r="B92" s="172"/>
      <c r="C92" s="172">
        <v>0</v>
      </c>
      <c r="D92" s="316">
        <v>6790.9110000000001</v>
      </c>
      <c r="E92" s="172"/>
      <c r="F92" s="317">
        <v>44585</v>
      </c>
      <c r="G92" s="173"/>
    </row>
    <row r="93" spans="1:7" x14ac:dyDescent="0.25">
      <c r="A93" s="172" t="s">
        <v>265</v>
      </c>
      <c r="B93" s="172"/>
      <c r="C93" s="172">
        <v>0</v>
      </c>
      <c r="D93" s="316">
        <v>231.19599999999997</v>
      </c>
      <c r="E93" s="172"/>
      <c r="F93" s="317">
        <v>44592</v>
      </c>
      <c r="G93" s="173"/>
    </row>
    <row r="94" spans="1:7" x14ac:dyDescent="0.25">
      <c r="A94" s="172" t="s">
        <v>265</v>
      </c>
      <c r="B94" s="172"/>
      <c r="C94" s="172">
        <v>0</v>
      </c>
      <c r="D94" s="316">
        <v>1919.5915</v>
      </c>
      <c r="E94" s="172"/>
      <c r="F94" s="317">
        <v>44599</v>
      </c>
      <c r="G94" s="173"/>
    </row>
    <row r="95" spans="1:7" x14ac:dyDescent="0.25">
      <c r="A95" s="172" t="s">
        <v>265</v>
      </c>
      <c r="B95" s="172"/>
      <c r="C95" s="172">
        <v>0</v>
      </c>
      <c r="D95" s="316">
        <v>4818.5230000000001</v>
      </c>
      <c r="E95" s="172"/>
      <c r="F95" s="317">
        <v>44606</v>
      </c>
      <c r="G95" s="173"/>
    </row>
    <row r="96" spans="1:7" x14ac:dyDescent="0.25">
      <c r="A96" s="172" t="s">
        <v>265</v>
      </c>
      <c r="B96" s="172"/>
      <c r="C96" s="172">
        <v>0</v>
      </c>
      <c r="D96" s="316">
        <v>4469.4979999999996</v>
      </c>
      <c r="E96" s="172"/>
      <c r="F96" s="317">
        <v>44614</v>
      </c>
      <c r="G96" s="173"/>
    </row>
    <row r="97" spans="1:7" x14ac:dyDescent="0.25">
      <c r="A97" s="172" t="s">
        <v>265</v>
      </c>
      <c r="B97" s="172"/>
      <c r="C97" s="172">
        <v>0</v>
      </c>
      <c r="D97" s="316">
        <v>-36.638999999999996</v>
      </c>
      <c r="E97" s="172"/>
      <c r="F97" s="317">
        <v>44620</v>
      </c>
      <c r="G97" s="173"/>
    </row>
    <row r="98" spans="1:7" x14ac:dyDescent="0.25">
      <c r="A98" s="172" t="s">
        <v>265</v>
      </c>
      <c r="B98" s="172"/>
      <c r="C98" s="172">
        <v>0</v>
      </c>
      <c r="D98" s="316">
        <v>3894.3254999999995</v>
      </c>
      <c r="E98" s="172"/>
      <c r="F98" s="317">
        <v>44627</v>
      </c>
      <c r="G98" s="173"/>
    </row>
    <row r="99" spans="1:7" x14ac:dyDescent="0.25">
      <c r="A99" s="172" t="s">
        <v>265</v>
      </c>
      <c r="B99" s="172"/>
      <c r="C99" s="172">
        <v>0</v>
      </c>
      <c r="D99" s="316">
        <v>442.23249999999996</v>
      </c>
      <c r="E99" s="172"/>
      <c r="F99" s="317">
        <v>44634</v>
      </c>
      <c r="G99" s="173"/>
    </row>
    <row r="100" spans="1:7" x14ac:dyDescent="0.25">
      <c r="A100" s="172" t="s">
        <v>265</v>
      </c>
      <c r="B100" s="172"/>
      <c r="C100" s="172">
        <v>0</v>
      </c>
      <c r="D100" s="316">
        <v>3865.587</v>
      </c>
      <c r="E100" s="172"/>
      <c r="F100" s="317">
        <v>44641</v>
      </c>
      <c r="G100" s="173"/>
    </row>
    <row r="101" spans="1:7" x14ac:dyDescent="0.25">
      <c r="A101" s="172" t="s">
        <v>265</v>
      </c>
      <c r="B101" s="172"/>
      <c r="C101" s="172">
        <v>0</v>
      </c>
      <c r="D101" s="316">
        <v>-172.98299999999998</v>
      </c>
      <c r="E101" s="172"/>
      <c r="F101" s="317">
        <v>44648</v>
      </c>
      <c r="G101" s="173"/>
    </row>
    <row r="102" spans="1:7" x14ac:dyDescent="0.25">
      <c r="A102" s="172" t="s">
        <v>265</v>
      </c>
      <c r="B102" s="172"/>
      <c r="C102" s="172">
        <v>0</v>
      </c>
      <c r="D102" s="316">
        <v>3174.8509999999997</v>
      </c>
      <c r="E102" s="172"/>
      <c r="F102" s="317">
        <v>44655</v>
      </c>
      <c r="G102" s="173"/>
    </row>
    <row r="103" spans="1:7" x14ac:dyDescent="0.25">
      <c r="A103" s="172" t="s">
        <v>265</v>
      </c>
      <c r="B103" s="172"/>
      <c r="C103" s="172">
        <v>0</v>
      </c>
      <c r="D103" s="316">
        <v>24.288</v>
      </c>
      <c r="E103" s="172"/>
      <c r="F103" s="317">
        <v>44663</v>
      </c>
      <c r="G103" s="173"/>
    </row>
    <row r="104" spans="1:7" x14ac:dyDescent="0.25">
      <c r="A104" s="172" t="s">
        <v>265</v>
      </c>
      <c r="B104" s="172"/>
      <c r="C104" s="172">
        <v>0</v>
      </c>
      <c r="D104" s="316">
        <v>7741.8689999999997</v>
      </c>
      <c r="E104" s="172"/>
      <c r="F104" s="317">
        <v>44669</v>
      </c>
      <c r="G104" s="173"/>
    </row>
    <row r="105" spans="1:7" x14ac:dyDescent="0.25">
      <c r="A105" s="172" t="s">
        <v>265</v>
      </c>
      <c r="B105" s="172"/>
      <c r="C105" s="172">
        <v>0</v>
      </c>
      <c r="D105" s="316">
        <v>-145.55549999999999</v>
      </c>
      <c r="E105" s="172"/>
      <c r="F105" s="317">
        <v>44676</v>
      </c>
      <c r="G105" s="173"/>
    </row>
    <row r="106" spans="1:7" x14ac:dyDescent="0.25">
      <c r="A106" s="172" t="s">
        <v>265</v>
      </c>
      <c r="B106" s="172"/>
      <c r="C106" s="172">
        <v>0</v>
      </c>
      <c r="D106" s="316">
        <v>2638.1804999999999</v>
      </c>
      <c r="E106" s="172"/>
      <c r="F106" s="317">
        <v>44683</v>
      </c>
      <c r="G106" s="173"/>
    </row>
    <row r="107" spans="1:7" x14ac:dyDescent="0.25">
      <c r="A107" s="172" t="s">
        <v>265</v>
      </c>
      <c r="B107" s="172"/>
      <c r="C107" s="172">
        <v>0</v>
      </c>
      <c r="D107" s="316">
        <v>1505.1429999999998</v>
      </c>
      <c r="E107" s="172"/>
      <c r="F107" s="317">
        <v>44691</v>
      </c>
      <c r="G107" s="173"/>
    </row>
    <row r="108" spans="1:7" x14ac:dyDescent="0.25">
      <c r="A108" s="172" t="s">
        <v>265</v>
      </c>
      <c r="B108" s="172"/>
      <c r="C108" s="172">
        <v>0</v>
      </c>
      <c r="D108" s="316">
        <v>4964.9409999999998</v>
      </c>
      <c r="E108" s="172"/>
      <c r="F108" s="317">
        <v>44697</v>
      </c>
      <c r="G108" s="173"/>
    </row>
    <row r="109" spans="1:7" x14ac:dyDescent="0.25">
      <c r="A109" s="172" t="s">
        <v>265</v>
      </c>
      <c r="B109" s="172"/>
      <c r="C109" s="172">
        <v>0</v>
      </c>
      <c r="D109" s="316">
        <v>198.72</v>
      </c>
      <c r="E109" s="172"/>
      <c r="F109" s="317">
        <v>44704</v>
      </c>
      <c r="G109" s="173"/>
    </row>
    <row r="110" spans="1:7" x14ac:dyDescent="0.25">
      <c r="A110" s="172" t="s">
        <v>265</v>
      </c>
      <c r="B110" s="172"/>
      <c r="C110" s="172">
        <v>0</v>
      </c>
      <c r="D110" s="316">
        <v>3148.9299999999994</v>
      </c>
      <c r="E110" s="172"/>
      <c r="F110" s="317">
        <v>44712</v>
      </c>
      <c r="G110" s="173"/>
    </row>
    <row r="111" spans="1:7" x14ac:dyDescent="0.25">
      <c r="A111" s="172" t="s">
        <v>265</v>
      </c>
      <c r="B111" s="172"/>
      <c r="C111" s="172">
        <v>0</v>
      </c>
      <c r="D111" s="316">
        <v>919.56299999999999</v>
      </c>
      <c r="E111" s="172"/>
      <c r="F111" s="317">
        <v>44719</v>
      </c>
      <c r="G111" s="173"/>
    </row>
    <row r="112" spans="1:7" x14ac:dyDescent="0.25">
      <c r="A112" s="172" t="s">
        <v>265</v>
      </c>
      <c r="B112" s="172"/>
      <c r="C112" s="172">
        <v>0</v>
      </c>
      <c r="D112" s="316">
        <v>2514.8200000000002</v>
      </c>
      <c r="E112" s="172"/>
      <c r="F112" s="317">
        <v>44726</v>
      </c>
      <c r="G112" s="173"/>
    </row>
    <row r="113" spans="1:7" x14ac:dyDescent="0.25">
      <c r="A113" s="172" t="s">
        <v>265</v>
      </c>
      <c r="B113" s="172"/>
      <c r="C113" s="172">
        <v>0</v>
      </c>
      <c r="D113" s="316">
        <v>964.91899999999987</v>
      </c>
      <c r="E113" s="172"/>
      <c r="F113" s="317">
        <v>44733</v>
      </c>
      <c r="G113" s="173"/>
    </row>
    <row r="114" spans="1:7" x14ac:dyDescent="0.25">
      <c r="A114" s="172" t="s">
        <v>265</v>
      </c>
      <c r="B114" s="172"/>
      <c r="C114" s="172">
        <v>0</v>
      </c>
      <c r="D114" s="316">
        <v>5368.5794999999998</v>
      </c>
      <c r="E114" s="172"/>
      <c r="F114" s="317">
        <v>44739</v>
      </c>
      <c r="G114" s="173"/>
    </row>
    <row r="115" spans="1:7" x14ac:dyDescent="0.25">
      <c r="A115" s="172" t="s">
        <v>265</v>
      </c>
      <c r="B115" s="172"/>
      <c r="C115" s="172">
        <v>0</v>
      </c>
      <c r="D115" s="316">
        <v>578.53049999999996</v>
      </c>
      <c r="E115" s="172"/>
      <c r="F115" s="317">
        <v>44748</v>
      </c>
      <c r="G115" s="173"/>
    </row>
    <row r="116" spans="1:7" x14ac:dyDescent="0.25">
      <c r="A116" s="172" t="s">
        <v>265</v>
      </c>
      <c r="B116" s="172"/>
      <c r="C116" s="172">
        <v>0</v>
      </c>
      <c r="D116" s="316">
        <v>3251.8894999999998</v>
      </c>
      <c r="E116" s="172"/>
      <c r="F116" s="317">
        <v>44753</v>
      </c>
      <c r="G116" s="173"/>
    </row>
    <row r="117" spans="1:7" x14ac:dyDescent="0.25">
      <c r="A117" s="172" t="s">
        <v>265</v>
      </c>
      <c r="B117" s="172"/>
      <c r="C117" s="172">
        <v>0</v>
      </c>
      <c r="D117" s="316">
        <v>3171.8839999999996</v>
      </c>
      <c r="E117" s="172"/>
      <c r="F117" s="317">
        <v>44761</v>
      </c>
      <c r="G117" s="173"/>
    </row>
    <row r="118" spans="1:7" x14ac:dyDescent="0.25">
      <c r="A118" s="172" t="s">
        <v>265</v>
      </c>
      <c r="B118" s="172"/>
      <c r="C118" s="172">
        <v>0</v>
      </c>
      <c r="D118" s="316">
        <v>3003.1789999999996</v>
      </c>
      <c r="E118" s="172"/>
      <c r="F118" s="317">
        <v>44767</v>
      </c>
      <c r="G118" s="173"/>
    </row>
    <row r="119" spans="1:7" x14ac:dyDescent="0.25">
      <c r="A119" s="172" t="s">
        <v>265</v>
      </c>
      <c r="B119" s="172"/>
      <c r="C119" s="172">
        <v>0</v>
      </c>
      <c r="D119" s="316">
        <v>566.08749999999998</v>
      </c>
      <c r="E119" s="172"/>
      <c r="F119" s="317">
        <v>44775</v>
      </c>
      <c r="G119" s="173"/>
    </row>
    <row r="120" spans="1:7" x14ac:dyDescent="0.25">
      <c r="A120" s="172" t="s">
        <v>265</v>
      </c>
      <c r="B120" s="172"/>
      <c r="C120" s="172">
        <v>0</v>
      </c>
      <c r="D120" s="316">
        <v>2906.0269999999996</v>
      </c>
      <c r="E120" s="172"/>
      <c r="F120" s="317">
        <v>44781</v>
      </c>
      <c r="G120" s="173"/>
    </row>
    <row r="121" spans="1:7" x14ac:dyDescent="0.25">
      <c r="A121" s="172" t="s">
        <v>265</v>
      </c>
      <c r="B121" s="172"/>
      <c r="C121" s="172">
        <v>0</v>
      </c>
      <c r="D121" s="316">
        <v>4558.6459999999997</v>
      </c>
      <c r="E121" s="172"/>
      <c r="F121" s="317">
        <v>44788</v>
      </c>
      <c r="G121" s="173"/>
    </row>
    <row r="122" spans="1:7" x14ac:dyDescent="0.25">
      <c r="A122" s="172" t="s">
        <v>265</v>
      </c>
      <c r="B122" s="172"/>
      <c r="C122" s="172">
        <v>0</v>
      </c>
      <c r="D122" s="316">
        <v>2706.8814999999995</v>
      </c>
      <c r="E122" s="172"/>
      <c r="F122" s="317">
        <v>44795</v>
      </c>
      <c r="G122" s="173"/>
    </row>
    <row r="123" spans="1:7" x14ac:dyDescent="0.25">
      <c r="A123" s="172" t="s">
        <v>265</v>
      </c>
      <c r="B123" s="172"/>
      <c r="C123" s="172">
        <v>0</v>
      </c>
      <c r="D123" s="316">
        <v>-1010.505</v>
      </c>
      <c r="E123" s="172"/>
      <c r="F123" s="317">
        <v>44802</v>
      </c>
      <c r="G123" s="173"/>
    </row>
    <row r="124" spans="1:7" x14ac:dyDescent="0.25">
      <c r="A124" s="172" t="s">
        <v>265</v>
      </c>
      <c r="B124" s="172"/>
      <c r="C124" s="172">
        <v>0</v>
      </c>
      <c r="D124" s="316">
        <v>1353.0439999999999</v>
      </c>
      <c r="E124" s="172"/>
      <c r="F124" s="317">
        <v>44811</v>
      </c>
      <c r="G124" s="173"/>
    </row>
    <row r="125" spans="1:7" x14ac:dyDescent="0.25">
      <c r="A125" s="172" t="s">
        <v>265</v>
      </c>
      <c r="B125" s="172"/>
      <c r="C125" s="172">
        <v>0</v>
      </c>
      <c r="D125" s="316">
        <v>3860.1014999999998</v>
      </c>
      <c r="E125" s="172"/>
      <c r="F125" s="317">
        <v>44816</v>
      </c>
      <c r="G125" s="173"/>
    </row>
    <row r="126" spans="1:7" x14ac:dyDescent="0.25">
      <c r="A126" s="172" t="s">
        <v>265</v>
      </c>
      <c r="B126" s="172"/>
      <c r="C126" s="172">
        <v>0</v>
      </c>
      <c r="D126" s="316">
        <v>1661.9455</v>
      </c>
      <c r="E126" s="172"/>
      <c r="F126" s="317">
        <v>44823</v>
      </c>
      <c r="G126" s="173"/>
    </row>
    <row r="127" spans="1:7" x14ac:dyDescent="0.25">
      <c r="A127" s="172" t="s">
        <v>265</v>
      </c>
      <c r="B127" s="172"/>
      <c r="C127" s="172">
        <v>0</v>
      </c>
      <c r="D127" s="316">
        <v>-204.74599999999998</v>
      </c>
      <c r="E127" s="172"/>
      <c r="F127" s="317">
        <v>44831</v>
      </c>
      <c r="G127" s="173"/>
    </row>
    <row r="128" spans="1:7" x14ac:dyDescent="0.25">
      <c r="A128" s="172" t="s">
        <v>265</v>
      </c>
      <c r="B128" s="172"/>
      <c r="C128" s="172">
        <v>0</v>
      </c>
      <c r="D128" s="316">
        <v>1456.4404999999999</v>
      </c>
      <c r="E128" s="172"/>
      <c r="F128" s="317">
        <v>44838</v>
      </c>
      <c r="G128" s="173"/>
    </row>
    <row r="129" spans="1:10" x14ac:dyDescent="0.25">
      <c r="A129" s="172" t="s">
        <v>265</v>
      </c>
      <c r="B129" s="172"/>
      <c r="C129" s="172">
        <v>0</v>
      </c>
      <c r="D129" s="316">
        <v>617.56149999999991</v>
      </c>
      <c r="E129" s="172"/>
      <c r="F129" s="317">
        <v>44844</v>
      </c>
      <c r="G129" s="173"/>
    </row>
    <row r="130" spans="1:10" x14ac:dyDescent="0.25">
      <c r="A130" s="172" t="s">
        <v>265</v>
      </c>
      <c r="B130" s="172"/>
      <c r="C130" s="172">
        <v>0</v>
      </c>
      <c r="D130" s="316">
        <v>3728.047</v>
      </c>
      <c r="E130" s="172"/>
      <c r="F130" s="317">
        <v>44852</v>
      </c>
      <c r="G130" s="173"/>
      <c r="J130" s="196"/>
    </row>
    <row r="131" spans="1:10" x14ac:dyDescent="0.25">
      <c r="A131" s="172" t="s">
        <v>265</v>
      </c>
      <c r="B131" s="172"/>
      <c r="C131" s="172">
        <v>0</v>
      </c>
      <c r="D131" s="316">
        <v>955.39699999999993</v>
      </c>
      <c r="E131" s="172"/>
      <c r="F131" s="317">
        <v>44858</v>
      </c>
      <c r="G131" s="173"/>
      <c r="J131" s="196"/>
    </row>
    <row r="132" spans="1:10" x14ac:dyDescent="0.25">
      <c r="A132" s="172" t="s">
        <v>265</v>
      </c>
      <c r="B132" s="172"/>
      <c r="C132" s="172">
        <v>0</v>
      </c>
      <c r="D132" s="316">
        <v>1454.3934999999999</v>
      </c>
      <c r="E132" s="172"/>
      <c r="F132" s="317">
        <v>44865</v>
      </c>
      <c r="G132" s="173"/>
    </row>
    <row r="133" spans="1:10" x14ac:dyDescent="0.25">
      <c r="A133" s="172" t="s">
        <v>265</v>
      </c>
      <c r="B133" s="172"/>
      <c r="C133" s="172">
        <v>0</v>
      </c>
      <c r="D133" s="316">
        <v>1159.798</v>
      </c>
      <c r="E133" s="172"/>
      <c r="F133" s="317">
        <v>44872</v>
      </c>
      <c r="G133" s="173"/>
    </row>
    <row r="134" spans="1:10" x14ac:dyDescent="0.25">
      <c r="A134" s="172" t="s">
        <v>265</v>
      </c>
      <c r="B134" s="172"/>
      <c r="C134" s="172">
        <v>0</v>
      </c>
      <c r="D134" s="316">
        <v>-305.80799999999999</v>
      </c>
      <c r="E134" s="172"/>
      <c r="F134" s="317">
        <v>44880</v>
      </c>
      <c r="G134" s="173"/>
    </row>
    <row r="135" spans="1:10" x14ac:dyDescent="0.25">
      <c r="A135" s="172" t="s">
        <v>265</v>
      </c>
      <c r="B135" s="172"/>
      <c r="C135" s="172">
        <v>0</v>
      </c>
      <c r="D135" s="316">
        <v>1631.9419999999998</v>
      </c>
      <c r="E135" s="172"/>
      <c r="F135" s="317">
        <v>44886</v>
      </c>
      <c r="G135" s="173"/>
    </row>
    <row r="136" spans="1:10" x14ac:dyDescent="0.25">
      <c r="A136" s="172" t="s">
        <v>265</v>
      </c>
      <c r="B136" s="172"/>
      <c r="C136" s="172">
        <v>0</v>
      </c>
      <c r="D136" s="316">
        <v>1754.9919999999997</v>
      </c>
      <c r="E136" s="172"/>
      <c r="F136" s="317">
        <v>44893</v>
      </c>
      <c r="G136" s="173"/>
    </row>
    <row r="137" spans="1:10" x14ac:dyDescent="0.25">
      <c r="A137" s="172" t="s">
        <v>265</v>
      </c>
      <c r="B137" s="172"/>
      <c r="C137" s="172">
        <v>0</v>
      </c>
      <c r="D137" s="316">
        <v>-78.533500000000004</v>
      </c>
      <c r="E137" s="172"/>
      <c r="F137" s="317">
        <v>44900</v>
      </c>
      <c r="G137" s="173"/>
    </row>
    <row r="138" spans="1:10" x14ac:dyDescent="0.25">
      <c r="A138" s="172" t="s">
        <v>265</v>
      </c>
      <c r="B138" s="172"/>
      <c r="C138" s="172">
        <v>0</v>
      </c>
      <c r="D138" s="316">
        <v>1474.5989999999999</v>
      </c>
      <c r="E138" s="172"/>
      <c r="F138" s="317">
        <v>44907</v>
      </c>
      <c r="G138" s="173"/>
    </row>
    <row r="139" spans="1:10" x14ac:dyDescent="0.25">
      <c r="A139" s="172" t="s">
        <v>265</v>
      </c>
      <c r="B139" s="172"/>
      <c r="C139" s="172">
        <v>0</v>
      </c>
      <c r="D139" s="316">
        <v>834.4514999999999</v>
      </c>
      <c r="E139" s="172"/>
      <c r="F139" s="317">
        <v>44914</v>
      </c>
      <c r="G139" s="173"/>
    </row>
    <row r="140" spans="1:10" x14ac:dyDescent="0.25">
      <c r="A140" s="172" t="s">
        <v>265</v>
      </c>
      <c r="B140" s="172"/>
      <c r="C140" s="172">
        <v>0</v>
      </c>
      <c r="D140" s="316">
        <v>2188.0589999999997</v>
      </c>
      <c r="E140" s="172"/>
      <c r="F140" s="317">
        <v>44922</v>
      </c>
      <c r="G140" s="173"/>
    </row>
    <row r="141" spans="1:10" x14ac:dyDescent="0.25">
      <c r="A141" s="172" t="s">
        <v>265</v>
      </c>
      <c r="B141" s="172"/>
      <c r="C141" s="172">
        <v>0</v>
      </c>
      <c r="D141" s="316">
        <v>-1065.4865</v>
      </c>
      <c r="E141" s="172"/>
      <c r="F141" s="317">
        <v>44930</v>
      </c>
      <c r="G141" s="173"/>
    </row>
    <row r="142" spans="1:10" x14ac:dyDescent="0.25">
      <c r="A142" s="172" t="s">
        <v>265</v>
      </c>
      <c r="B142" s="172"/>
      <c r="C142" s="172">
        <v>0</v>
      </c>
      <c r="D142" s="316">
        <v>1170.1824999999999</v>
      </c>
      <c r="E142" s="172"/>
      <c r="F142" s="317">
        <v>44935</v>
      </c>
      <c r="G142" s="173"/>
    </row>
    <row r="143" spans="1:10" x14ac:dyDescent="0.25">
      <c r="A143" s="172" t="s">
        <v>265</v>
      </c>
      <c r="B143" s="172"/>
      <c r="C143" s="172">
        <v>0</v>
      </c>
      <c r="D143" s="316">
        <v>930.44200000000001</v>
      </c>
      <c r="E143" s="172"/>
      <c r="F143" s="317">
        <v>44943</v>
      </c>
      <c r="G143" s="173"/>
    </row>
    <row r="144" spans="1:10" x14ac:dyDescent="0.25">
      <c r="A144" s="172" t="s">
        <v>265</v>
      </c>
      <c r="B144" s="172"/>
      <c r="C144" s="172">
        <v>0</v>
      </c>
      <c r="D144" s="316">
        <v>1955.8049999999998</v>
      </c>
      <c r="E144" s="172"/>
      <c r="F144" s="317">
        <v>44950</v>
      </c>
      <c r="G144" s="173"/>
    </row>
    <row r="145" spans="1:7" x14ac:dyDescent="0.25">
      <c r="A145" s="172" t="s">
        <v>265</v>
      </c>
      <c r="B145" s="172"/>
      <c r="C145" s="172">
        <v>0</v>
      </c>
      <c r="D145" s="316">
        <v>205.0565</v>
      </c>
      <c r="E145" s="172"/>
      <c r="F145" s="317">
        <v>44956</v>
      </c>
      <c r="G145" s="173"/>
    </row>
    <row r="146" spans="1:7" x14ac:dyDescent="0.25">
      <c r="A146" s="172" t="s">
        <v>265</v>
      </c>
      <c r="B146" s="172"/>
      <c r="C146" s="172">
        <v>0</v>
      </c>
      <c r="D146" s="316">
        <v>1748.9429999999998</v>
      </c>
      <c r="E146" s="172"/>
      <c r="F146" s="317">
        <v>44964</v>
      </c>
      <c r="G146" s="173"/>
    </row>
    <row r="147" spans="1:7" x14ac:dyDescent="0.25">
      <c r="A147" s="172" t="s">
        <v>265</v>
      </c>
      <c r="B147" s="172"/>
      <c r="C147" s="172">
        <v>0</v>
      </c>
      <c r="D147" s="316">
        <v>1072.4095</v>
      </c>
      <c r="E147" s="172"/>
      <c r="F147" s="317">
        <v>44971</v>
      </c>
      <c r="G147" s="173"/>
    </row>
    <row r="148" spans="1:7" x14ac:dyDescent="0.25">
      <c r="A148" s="172" t="s">
        <v>265</v>
      </c>
      <c r="B148" s="172"/>
      <c r="C148" s="172">
        <v>0</v>
      </c>
      <c r="D148" s="316">
        <v>1798.4274999999998</v>
      </c>
      <c r="E148" s="172"/>
      <c r="F148" s="317">
        <v>44978</v>
      </c>
      <c r="G148" s="173"/>
    </row>
    <row r="149" spans="1:7" x14ac:dyDescent="0.25">
      <c r="A149" s="172" t="s">
        <v>265</v>
      </c>
      <c r="B149" s="172"/>
      <c r="C149" s="172">
        <v>0</v>
      </c>
      <c r="D149" s="316">
        <v>23893.664999999997</v>
      </c>
      <c r="E149" s="172"/>
      <c r="F149" s="317">
        <v>44985</v>
      </c>
      <c r="G149" s="173"/>
    </row>
    <row r="150" spans="1:7" x14ac:dyDescent="0.25">
      <c r="A150" s="172" t="s">
        <v>265</v>
      </c>
      <c r="B150" s="172"/>
      <c r="C150" s="172">
        <v>0</v>
      </c>
      <c r="D150" s="316">
        <v>-22179.313999999998</v>
      </c>
      <c r="E150" s="172"/>
      <c r="F150" s="317">
        <v>44992</v>
      </c>
      <c r="G150" s="173"/>
    </row>
    <row r="151" spans="1:7" x14ac:dyDescent="0.25">
      <c r="A151" s="172" t="s">
        <v>265</v>
      </c>
      <c r="B151" s="172"/>
      <c r="C151" s="172">
        <v>0</v>
      </c>
      <c r="D151" s="316">
        <v>-2128.6499999999996</v>
      </c>
      <c r="E151" s="172"/>
      <c r="F151" s="317">
        <v>44999</v>
      </c>
      <c r="G151" s="173"/>
    </row>
    <row r="152" spans="1:7" x14ac:dyDescent="0.25">
      <c r="A152" s="172" t="s">
        <v>265</v>
      </c>
      <c r="B152" s="172"/>
      <c r="C152" s="172">
        <v>0</v>
      </c>
      <c r="D152" s="316">
        <v>3572.9694999999997</v>
      </c>
      <c r="E152" s="172"/>
      <c r="F152" s="317">
        <v>45006</v>
      </c>
      <c r="G152" s="173"/>
    </row>
    <row r="153" spans="1:7" x14ac:dyDescent="0.25">
      <c r="A153" s="172" t="s">
        <v>265</v>
      </c>
      <c r="B153" s="172"/>
      <c r="C153" s="172">
        <v>0</v>
      </c>
      <c r="D153" s="316">
        <v>427.52399999999994</v>
      </c>
      <c r="E153" s="172"/>
      <c r="F153" s="317">
        <v>45012</v>
      </c>
      <c r="G153" s="173"/>
    </row>
    <row r="154" spans="1:7" x14ac:dyDescent="0.25">
      <c r="A154" s="172" t="s">
        <v>265</v>
      </c>
      <c r="B154" s="172"/>
      <c r="C154" s="172">
        <v>0</v>
      </c>
      <c r="D154" s="316">
        <v>1473.9665</v>
      </c>
      <c r="E154" s="172"/>
      <c r="F154" s="317">
        <v>45019</v>
      </c>
      <c r="G154" s="173"/>
    </row>
    <row r="155" spans="1:7" x14ac:dyDescent="0.25">
      <c r="A155" s="172" t="s">
        <v>265</v>
      </c>
      <c r="B155" s="172"/>
      <c r="C155" s="172">
        <v>0</v>
      </c>
      <c r="D155" s="316">
        <v>-338.20349999999996</v>
      </c>
      <c r="E155" s="172"/>
      <c r="F155" s="317">
        <v>45026</v>
      </c>
      <c r="G155" s="173"/>
    </row>
    <row r="156" spans="1:7" x14ac:dyDescent="0.25">
      <c r="A156" s="172" t="s">
        <v>265</v>
      </c>
      <c r="B156" s="172"/>
      <c r="C156" s="172">
        <v>0</v>
      </c>
      <c r="D156" s="316">
        <v>1149.7355</v>
      </c>
      <c r="E156" s="172"/>
      <c r="F156" s="317">
        <v>45033</v>
      </c>
      <c r="G156" s="173"/>
    </row>
    <row r="157" spans="1:7" x14ac:dyDescent="0.25">
      <c r="A157" s="172" t="s">
        <v>265</v>
      </c>
      <c r="B157" s="172"/>
      <c r="C157" s="172">
        <v>0</v>
      </c>
      <c r="D157" s="316">
        <v>1781.9134999999999</v>
      </c>
      <c r="E157" s="172"/>
      <c r="F157" s="317">
        <v>45041</v>
      </c>
      <c r="G157" s="173"/>
    </row>
    <row r="158" spans="1:7" x14ac:dyDescent="0.25">
      <c r="A158" s="172" t="s">
        <v>265</v>
      </c>
      <c r="B158" s="172"/>
      <c r="C158" s="172">
        <v>0</v>
      </c>
      <c r="D158" s="316">
        <v>4521.6619999999994</v>
      </c>
      <c r="E158" s="172"/>
      <c r="F158" s="317">
        <v>45047</v>
      </c>
      <c r="G158" s="173"/>
    </row>
    <row r="159" spans="1:7" x14ac:dyDescent="0.25">
      <c r="A159" s="172" t="s">
        <v>265</v>
      </c>
      <c r="B159" s="172"/>
      <c r="C159" s="172">
        <v>0</v>
      </c>
      <c r="D159" s="316">
        <v>-1279.7544999999998</v>
      </c>
      <c r="E159" s="172"/>
      <c r="F159" s="317">
        <v>45054</v>
      </c>
      <c r="G159" s="173"/>
    </row>
    <row r="160" spans="1:7" x14ac:dyDescent="0.25">
      <c r="A160" s="172" t="s">
        <v>265</v>
      </c>
      <c r="B160" s="172"/>
      <c r="C160" s="172">
        <v>0</v>
      </c>
      <c r="D160" s="316">
        <v>3695.502</v>
      </c>
      <c r="E160" s="172"/>
      <c r="F160" s="317">
        <v>45061</v>
      </c>
      <c r="G160" s="173"/>
    </row>
    <row r="161" spans="1:7" x14ac:dyDescent="0.25">
      <c r="A161" s="172" t="s">
        <v>265</v>
      </c>
      <c r="B161" s="172"/>
      <c r="C161" s="172">
        <v>0</v>
      </c>
      <c r="D161" s="316">
        <v>707.70999999999992</v>
      </c>
      <c r="E161" s="172"/>
      <c r="F161" s="317">
        <v>45068</v>
      </c>
      <c r="G161" s="173"/>
    </row>
    <row r="162" spans="1:7" x14ac:dyDescent="0.25">
      <c r="A162" s="172" t="s">
        <v>265</v>
      </c>
      <c r="B162" s="172"/>
      <c r="C162" s="172">
        <v>0</v>
      </c>
      <c r="D162" s="316">
        <v>2492.1305000000002</v>
      </c>
      <c r="E162" s="172"/>
      <c r="F162" s="317">
        <v>45077</v>
      </c>
      <c r="G162" s="173"/>
    </row>
    <row r="163" spans="1:7" x14ac:dyDescent="0.25">
      <c r="A163" s="172" t="s">
        <v>265</v>
      </c>
      <c r="B163" s="172"/>
      <c r="C163" s="172">
        <v>0</v>
      </c>
      <c r="D163" s="316">
        <v>-2412.9529999999995</v>
      </c>
      <c r="E163" s="172"/>
      <c r="F163" s="317">
        <v>45082</v>
      </c>
      <c r="G163" s="173"/>
    </row>
    <row r="164" spans="1:7" x14ac:dyDescent="0.25">
      <c r="A164" s="172" t="s">
        <v>265</v>
      </c>
      <c r="B164" s="172"/>
      <c r="C164" s="172">
        <v>0</v>
      </c>
      <c r="D164" s="316">
        <v>1429.8524999999997</v>
      </c>
      <c r="E164" s="172"/>
      <c r="F164" s="317">
        <v>45089</v>
      </c>
      <c r="G164" s="173"/>
    </row>
    <row r="165" spans="1:7" x14ac:dyDescent="0.25">
      <c r="A165" s="172" t="s">
        <v>265</v>
      </c>
      <c r="B165" s="172"/>
      <c r="C165" s="172">
        <v>0</v>
      </c>
      <c r="D165" s="316">
        <v>-1408.7384999999999</v>
      </c>
      <c r="E165" s="172"/>
      <c r="F165" s="317">
        <v>45098</v>
      </c>
      <c r="G165" s="173"/>
    </row>
    <row r="166" spans="1:7" x14ac:dyDescent="0.25">
      <c r="A166" s="172" t="s">
        <v>265</v>
      </c>
      <c r="B166" s="172"/>
      <c r="C166" s="172">
        <v>0</v>
      </c>
      <c r="D166" s="316">
        <v>1956.3454999999999</v>
      </c>
      <c r="E166" s="172"/>
      <c r="F166" s="317">
        <v>45105</v>
      </c>
      <c r="G166" s="173"/>
    </row>
    <row r="167" spans="1:7" x14ac:dyDescent="0.25">
      <c r="A167" s="172" t="s">
        <v>265</v>
      </c>
      <c r="B167" s="172"/>
      <c r="C167" s="172">
        <v>0</v>
      </c>
      <c r="D167" s="316">
        <v>42.503999999999998</v>
      </c>
      <c r="E167" s="172"/>
      <c r="F167" s="317">
        <v>45110</v>
      </c>
      <c r="G167" s="173"/>
    </row>
    <row r="168" spans="1:7" x14ac:dyDescent="0.25">
      <c r="A168" s="172" t="s">
        <v>262</v>
      </c>
      <c r="B168" s="172"/>
      <c r="C168" s="172">
        <v>0</v>
      </c>
      <c r="D168" s="316">
        <v>40250</v>
      </c>
      <c r="E168" s="172"/>
      <c r="F168" s="317">
        <v>44588</v>
      </c>
      <c r="G168" s="173"/>
    </row>
    <row r="169" spans="1:7" x14ac:dyDescent="0.25">
      <c r="A169" s="172" t="s">
        <v>262</v>
      </c>
      <c r="B169" s="172"/>
      <c r="C169" s="172">
        <v>0</v>
      </c>
      <c r="D169" s="316">
        <v>9200</v>
      </c>
      <c r="E169" s="172"/>
      <c r="F169" s="317">
        <v>44608</v>
      </c>
      <c r="G169" s="173"/>
    </row>
    <row r="170" spans="1:7" x14ac:dyDescent="0.25">
      <c r="A170" s="172" t="s">
        <v>262</v>
      </c>
      <c r="B170" s="172"/>
      <c r="C170" s="172">
        <v>0</v>
      </c>
      <c r="D170" s="316">
        <v>5750</v>
      </c>
      <c r="E170" s="172"/>
      <c r="F170" s="317">
        <v>44629</v>
      </c>
      <c r="G170" s="173"/>
    </row>
    <row r="171" spans="1:7" x14ac:dyDescent="0.25">
      <c r="A171" s="172" t="s">
        <v>262</v>
      </c>
      <c r="B171" s="172"/>
      <c r="C171" s="172">
        <v>0</v>
      </c>
      <c r="D171" s="316">
        <v>9200</v>
      </c>
      <c r="E171" s="172"/>
      <c r="F171" s="317">
        <v>44649</v>
      </c>
      <c r="G171" s="173"/>
    </row>
    <row r="172" spans="1:7" x14ac:dyDescent="0.25">
      <c r="A172" s="172" t="s">
        <v>262</v>
      </c>
      <c r="B172" s="172"/>
      <c r="C172" s="172">
        <v>0</v>
      </c>
      <c r="D172" s="316">
        <v>8049.9999999999991</v>
      </c>
      <c r="E172" s="172"/>
      <c r="F172" s="317">
        <v>44664</v>
      </c>
      <c r="G172" s="173"/>
    </row>
    <row r="173" spans="1:7" x14ac:dyDescent="0.25">
      <c r="A173" s="172" t="s">
        <v>262</v>
      </c>
      <c r="B173" s="172"/>
      <c r="C173" s="172">
        <v>0</v>
      </c>
      <c r="D173" s="316">
        <v>4600</v>
      </c>
      <c r="E173" s="172"/>
      <c r="F173" s="317">
        <v>44690</v>
      </c>
      <c r="G173" s="173"/>
    </row>
    <row r="174" spans="1:7" x14ac:dyDescent="0.25">
      <c r="A174" s="172" t="s">
        <v>262</v>
      </c>
      <c r="B174" s="172"/>
      <c r="C174" s="172">
        <v>0</v>
      </c>
      <c r="D174" s="316">
        <v>4600</v>
      </c>
      <c r="E174" s="172"/>
      <c r="F174" s="317">
        <v>44704</v>
      </c>
      <c r="G174" s="173"/>
    </row>
    <row r="175" spans="1:7" x14ac:dyDescent="0.25">
      <c r="A175" s="172" t="s">
        <v>262</v>
      </c>
      <c r="B175" s="172"/>
      <c r="C175" s="172">
        <v>0</v>
      </c>
      <c r="D175" s="316">
        <v>8049.9999999999991</v>
      </c>
      <c r="E175" s="172"/>
      <c r="F175" s="317">
        <v>44720</v>
      </c>
      <c r="G175" s="173"/>
    </row>
    <row r="176" spans="1:7" x14ac:dyDescent="0.25">
      <c r="A176" s="172" t="s">
        <v>262</v>
      </c>
      <c r="B176" s="172"/>
      <c r="C176" s="172">
        <v>0</v>
      </c>
      <c r="D176" s="316">
        <v>3449.9999999999995</v>
      </c>
      <c r="E176" s="172"/>
      <c r="F176" s="317">
        <v>44739</v>
      </c>
      <c r="G176" s="173"/>
    </row>
    <row r="177" spans="1:7" x14ac:dyDescent="0.25">
      <c r="A177" s="172" t="s">
        <v>262</v>
      </c>
      <c r="B177" s="172"/>
      <c r="C177" s="172">
        <v>0</v>
      </c>
      <c r="D177" s="316">
        <v>2300</v>
      </c>
      <c r="E177" s="172"/>
      <c r="F177" s="317">
        <v>44755</v>
      </c>
      <c r="G177" s="173"/>
    </row>
    <row r="178" spans="1:7" x14ac:dyDescent="0.25">
      <c r="A178" s="172" t="s">
        <v>262</v>
      </c>
      <c r="B178" s="172"/>
      <c r="C178" s="172">
        <v>0</v>
      </c>
      <c r="D178" s="316">
        <v>17250</v>
      </c>
      <c r="E178" s="172"/>
      <c r="F178" s="317">
        <v>44763</v>
      </c>
      <c r="G178" s="173"/>
    </row>
    <row r="179" spans="1:7" x14ac:dyDescent="0.25">
      <c r="A179" s="172" t="s">
        <v>262</v>
      </c>
      <c r="B179" s="172"/>
      <c r="C179" s="172">
        <v>0</v>
      </c>
      <c r="D179" s="316">
        <v>4600</v>
      </c>
      <c r="E179" s="172"/>
      <c r="F179" s="317">
        <v>44768</v>
      </c>
      <c r="G179" s="173"/>
    </row>
    <row r="180" spans="1:7" x14ac:dyDescent="0.25">
      <c r="A180" s="172" t="s">
        <v>262</v>
      </c>
      <c r="B180" s="172"/>
      <c r="C180" s="172">
        <v>0</v>
      </c>
      <c r="D180" s="316">
        <v>8049.9999999999991</v>
      </c>
      <c r="E180" s="172"/>
      <c r="F180" s="317">
        <v>44784</v>
      </c>
      <c r="G180" s="173"/>
    </row>
    <row r="181" spans="1:7" x14ac:dyDescent="0.25">
      <c r="A181" s="172" t="s">
        <v>262</v>
      </c>
      <c r="B181" s="172"/>
      <c r="C181" s="172">
        <v>0</v>
      </c>
      <c r="D181" s="316">
        <v>9200</v>
      </c>
      <c r="E181" s="172"/>
      <c r="F181" s="317">
        <v>44798</v>
      </c>
      <c r="G181" s="173"/>
    </row>
    <row r="182" spans="1:7" x14ac:dyDescent="0.25">
      <c r="A182" s="172" t="s">
        <v>262</v>
      </c>
      <c r="B182" s="172"/>
      <c r="C182" s="172">
        <v>0</v>
      </c>
      <c r="D182" s="316">
        <v>17250</v>
      </c>
      <c r="E182" s="172"/>
      <c r="F182" s="317">
        <v>44819</v>
      </c>
      <c r="G182" s="173"/>
    </row>
    <row r="183" spans="1:7" x14ac:dyDescent="0.25">
      <c r="A183" s="172" t="s">
        <v>262</v>
      </c>
      <c r="B183" s="172"/>
      <c r="C183" s="172">
        <v>0</v>
      </c>
      <c r="D183" s="316">
        <v>4600</v>
      </c>
      <c r="E183" s="172"/>
      <c r="F183" s="317">
        <v>44852</v>
      </c>
      <c r="G183" s="173"/>
    </row>
    <row r="184" spans="1:7" x14ac:dyDescent="0.25">
      <c r="A184" t="s">
        <v>262</v>
      </c>
      <c r="C184">
        <v>0</v>
      </c>
      <c r="D184" s="173">
        <v>5750</v>
      </c>
      <c r="F184" s="196">
        <v>44868</v>
      </c>
      <c r="G184" s="173"/>
    </row>
    <row r="185" spans="1:7" x14ac:dyDescent="0.25">
      <c r="A185" t="s">
        <v>262</v>
      </c>
      <c r="C185">
        <v>0</v>
      </c>
      <c r="D185" s="173">
        <v>10350</v>
      </c>
      <c r="F185" s="196">
        <v>44910</v>
      </c>
      <c r="G185" s="173"/>
    </row>
    <row r="186" spans="1:7" x14ac:dyDescent="0.25">
      <c r="A186" t="s">
        <v>262</v>
      </c>
      <c r="C186">
        <v>0</v>
      </c>
      <c r="D186" s="173">
        <v>2300</v>
      </c>
      <c r="F186" s="196">
        <v>44929</v>
      </c>
      <c r="G186" s="173"/>
    </row>
    <row r="187" spans="1:7" x14ac:dyDescent="0.25">
      <c r="A187" t="s">
        <v>262</v>
      </c>
      <c r="C187">
        <v>0</v>
      </c>
      <c r="D187" s="173">
        <v>4600</v>
      </c>
      <c r="F187" s="196">
        <v>44944</v>
      </c>
      <c r="G187" s="173"/>
    </row>
    <row r="188" spans="1:7" x14ac:dyDescent="0.25">
      <c r="A188" t="s">
        <v>262</v>
      </c>
      <c r="C188">
        <v>0</v>
      </c>
      <c r="D188" s="173">
        <v>9200</v>
      </c>
      <c r="F188" s="196">
        <v>44963</v>
      </c>
      <c r="G188" s="173"/>
    </row>
    <row r="189" spans="1:7" x14ac:dyDescent="0.25">
      <c r="A189" t="s">
        <v>262</v>
      </c>
      <c r="C189">
        <v>0</v>
      </c>
      <c r="D189" s="173">
        <v>17250</v>
      </c>
      <c r="F189" s="196">
        <v>44992</v>
      </c>
      <c r="G189" s="173"/>
    </row>
    <row r="190" spans="1:7" x14ac:dyDescent="0.25">
      <c r="A190" t="s">
        <v>262</v>
      </c>
      <c r="C190">
        <v>0</v>
      </c>
      <c r="D190" s="173">
        <v>5750</v>
      </c>
      <c r="F190" s="196">
        <v>45005</v>
      </c>
      <c r="G190" s="173"/>
    </row>
    <row r="191" spans="1:7" x14ac:dyDescent="0.25">
      <c r="A191" t="s">
        <v>262</v>
      </c>
      <c r="C191">
        <v>0</v>
      </c>
      <c r="D191" s="173">
        <v>11500</v>
      </c>
      <c r="F191" s="196">
        <v>45020</v>
      </c>
      <c r="G191" s="173"/>
    </row>
    <row r="192" spans="1:7" x14ac:dyDescent="0.25">
      <c r="A192" t="s">
        <v>262</v>
      </c>
      <c r="C192">
        <v>0</v>
      </c>
      <c r="D192" s="173">
        <v>5750</v>
      </c>
      <c r="F192" s="196">
        <v>45084</v>
      </c>
      <c r="G192" s="173"/>
    </row>
    <row r="193" spans="1:7" x14ac:dyDescent="0.25">
      <c r="A193" t="s">
        <v>262</v>
      </c>
      <c r="C193">
        <v>0</v>
      </c>
      <c r="D193" s="173">
        <v>3449.9999999999995</v>
      </c>
      <c r="F193" s="196">
        <v>45098</v>
      </c>
      <c r="G193" s="173"/>
    </row>
  </sheetData>
  <mergeCells count="2">
    <mergeCell ref="A1:P1"/>
    <mergeCell ref="A2:A3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35B6-FA2B-4130-BA87-45608E8549FB}">
  <sheetPr>
    <tabColor rgb="FFFF0000"/>
  </sheetPr>
  <dimension ref="A1:Z32"/>
  <sheetViews>
    <sheetView showGridLines="0" workbookViewId="0">
      <pane ySplit="2" topLeftCell="A3" activePane="bottomLeft" state="frozen"/>
      <selection activeCell="V3" sqref="V3"/>
      <selection pane="bottomLeft" activeCell="V3" sqref="V3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32" bestFit="1" customWidth="1"/>
    <col min="4" max="4" width="13.140625" bestFit="1" customWidth="1"/>
    <col min="5" max="5" width="21.5703125" bestFit="1" customWidth="1"/>
    <col min="6" max="6" width="10.42578125" customWidth="1"/>
    <col min="7" max="7" width="10" bestFit="1" customWidth="1"/>
    <col min="8" max="8" width="17.7109375" bestFit="1" customWidth="1"/>
    <col min="9" max="9" width="16.85546875" customWidth="1"/>
    <col min="10" max="10" width="14.42578125" bestFit="1" customWidth="1"/>
    <col min="11" max="11" width="18.7109375" bestFit="1" customWidth="1"/>
    <col min="12" max="12" width="25.140625" bestFit="1" customWidth="1"/>
    <col min="13" max="13" width="12.7109375" customWidth="1"/>
    <col min="14" max="14" width="16.85546875" bestFit="1" customWidth="1"/>
    <col min="15" max="15" width="11.85546875" bestFit="1" customWidth="1"/>
    <col min="16" max="16" width="22.42578125" bestFit="1" customWidth="1"/>
    <col min="17" max="17" width="25.140625" bestFit="1" customWidth="1"/>
    <col min="18" max="18" width="23.140625" bestFit="1" customWidth="1"/>
    <col min="19" max="19" width="27.7109375" bestFit="1" customWidth="1"/>
    <col min="20" max="20" width="23.85546875" bestFit="1" customWidth="1"/>
    <col min="21" max="21" width="28.85546875" bestFit="1" customWidth="1"/>
    <col min="22" max="22" width="11.5703125" bestFit="1" customWidth="1"/>
    <col min="24" max="24" width="11.5703125" bestFit="1" customWidth="1"/>
    <col min="25" max="25" width="34.28515625" bestFit="1" customWidth="1"/>
    <col min="26" max="26" width="36.5703125" bestFit="1" customWidth="1"/>
  </cols>
  <sheetData>
    <row r="1" spans="1:26" ht="15" customHeight="1" x14ac:dyDescent="0.25">
      <c r="A1" s="655" t="s">
        <v>243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7"/>
    </row>
    <row r="2" spans="1:26" ht="30" x14ac:dyDescent="0.25">
      <c r="A2" s="172" t="s">
        <v>108</v>
      </c>
      <c r="B2" s="172" t="s">
        <v>102</v>
      </c>
      <c r="C2" s="172" t="s">
        <v>101</v>
      </c>
      <c r="D2" s="172" t="s">
        <v>100</v>
      </c>
      <c r="E2" s="172" t="s">
        <v>130</v>
      </c>
      <c r="F2" s="172" t="s">
        <v>129</v>
      </c>
      <c r="G2" s="172" t="s">
        <v>128</v>
      </c>
      <c r="H2" s="172" t="s">
        <v>127</v>
      </c>
      <c r="I2" s="172" t="s">
        <v>126</v>
      </c>
      <c r="J2" s="172" t="s">
        <v>125</v>
      </c>
      <c r="K2" s="172" t="s">
        <v>13</v>
      </c>
      <c r="L2" s="172" t="s">
        <v>124</v>
      </c>
      <c r="M2" s="172" t="s">
        <v>123</v>
      </c>
      <c r="N2" s="172" t="s">
        <v>122</v>
      </c>
      <c r="O2" s="172" t="s">
        <v>121</v>
      </c>
      <c r="P2" s="172" t="s">
        <v>120</v>
      </c>
      <c r="Q2" s="172" t="s">
        <v>119</v>
      </c>
      <c r="R2" s="172" t="s">
        <v>118</v>
      </c>
      <c r="S2" s="172" t="s">
        <v>117</v>
      </c>
      <c r="T2" s="172" t="s">
        <v>116</v>
      </c>
      <c r="U2" s="172" t="s">
        <v>115</v>
      </c>
      <c r="V2" s="172" t="s">
        <v>114</v>
      </c>
      <c r="W2" s="172" t="s">
        <v>113</v>
      </c>
      <c r="X2" s="172" t="s">
        <v>112</v>
      </c>
      <c r="Y2" s="172" t="s">
        <v>111</v>
      </c>
      <c r="Z2" s="172" t="s">
        <v>110</v>
      </c>
    </row>
    <row r="3" spans="1:26" x14ac:dyDescent="0.25">
      <c r="A3" s="172" t="s">
        <v>108</v>
      </c>
      <c r="B3" s="172" t="s">
        <v>265</v>
      </c>
      <c r="C3" s="172"/>
      <c r="D3" s="172">
        <v>0</v>
      </c>
      <c r="E3" s="172" t="s">
        <v>109</v>
      </c>
      <c r="F3" s="172">
        <v>1</v>
      </c>
      <c r="G3" s="172" t="s">
        <v>106</v>
      </c>
      <c r="H3" s="172"/>
      <c r="I3" s="374">
        <v>44580.641921296294</v>
      </c>
      <c r="J3" s="316">
        <v>-5.1297499999999996</v>
      </c>
      <c r="K3" s="316">
        <v>0</v>
      </c>
      <c r="L3" s="316">
        <v>24767.039100000005</v>
      </c>
      <c r="M3" s="316">
        <v>6323.2187999999996</v>
      </c>
      <c r="N3" s="316">
        <v>0</v>
      </c>
      <c r="O3" s="316">
        <v>31090.257900000004</v>
      </c>
      <c r="P3" s="316">
        <v>0</v>
      </c>
      <c r="Q3" s="316">
        <v>0</v>
      </c>
      <c r="R3" s="316">
        <v>0</v>
      </c>
      <c r="S3" s="316">
        <v>0</v>
      </c>
      <c r="T3" s="316">
        <v>0</v>
      </c>
      <c r="U3" s="316">
        <v>-2729.5800000000004</v>
      </c>
      <c r="V3" s="316">
        <v>275189.77</v>
      </c>
      <c r="W3" s="316">
        <v>0</v>
      </c>
      <c r="X3" s="316">
        <v>275189.77</v>
      </c>
      <c r="Y3" s="316">
        <v>146094.9204</v>
      </c>
      <c r="Z3" s="316">
        <v>129094.84960000002</v>
      </c>
    </row>
    <row r="4" spans="1:26" x14ac:dyDescent="0.25">
      <c r="A4" s="172" t="s">
        <v>108</v>
      </c>
      <c r="B4" s="172" t="s">
        <v>263</v>
      </c>
      <c r="C4" s="172"/>
      <c r="D4" s="172">
        <v>0</v>
      </c>
      <c r="E4" s="172" t="s">
        <v>109</v>
      </c>
      <c r="F4" s="172">
        <v>1</v>
      </c>
      <c r="G4" s="172" t="s">
        <v>106</v>
      </c>
      <c r="H4" s="172"/>
      <c r="I4" s="374">
        <v>44581.549016203702</v>
      </c>
      <c r="J4" s="316">
        <v>4059.4240499999996</v>
      </c>
      <c r="K4" s="316">
        <v>0</v>
      </c>
      <c r="L4" s="316">
        <v>0</v>
      </c>
      <c r="M4" s="316">
        <v>13462.624900000001</v>
      </c>
      <c r="N4" s="316">
        <v>0</v>
      </c>
      <c r="O4" s="316">
        <v>15201.730500000001</v>
      </c>
      <c r="P4" s="316">
        <v>0</v>
      </c>
      <c r="Q4" s="316">
        <v>0</v>
      </c>
      <c r="R4" s="316">
        <v>0</v>
      </c>
      <c r="S4" s="316">
        <v>0</v>
      </c>
      <c r="T4" s="316">
        <v>0</v>
      </c>
      <c r="U4" s="316">
        <v>0</v>
      </c>
      <c r="V4" s="316">
        <v>311115.84000000003</v>
      </c>
      <c r="W4" s="316">
        <v>0</v>
      </c>
      <c r="X4" s="316">
        <v>311115.84000000003</v>
      </c>
      <c r="Y4" s="316">
        <v>231118.20850000001</v>
      </c>
      <c r="Z4" s="316">
        <v>79997.631500000003</v>
      </c>
    </row>
    <row r="5" spans="1:26" x14ac:dyDescent="0.25">
      <c r="A5" s="172" t="s">
        <v>108</v>
      </c>
      <c r="B5" s="172" t="s">
        <v>262</v>
      </c>
      <c r="C5" s="172"/>
      <c r="D5" s="172">
        <v>0</v>
      </c>
      <c r="E5" s="172" t="s">
        <v>109</v>
      </c>
      <c r="F5" s="172">
        <v>1</v>
      </c>
      <c r="G5" s="172" t="s">
        <v>106</v>
      </c>
      <c r="H5" s="172"/>
      <c r="I5" s="374">
        <v>44581.69326388889</v>
      </c>
      <c r="J5" s="316">
        <v>0</v>
      </c>
      <c r="K5" s="316">
        <v>0</v>
      </c>
      <c r="L5" s="316">
        <v>0</v>
      </c>
      <c r="M5" s="316">
        <v>15696.9342</v>
      </c>
      <c r="N5" s="316">
        <v>0</v>
      </c>
      <c r="O5" s="316">
        <v>17340.645200000003</v>
      </c>
      <c r="P5" s="316">
        <v>0</v>
      </c>
      <c r="Q5" s="316">
        <v>0</v>
      </c>
      <c r="R5" s="316">
        <v>0</v>
      </c>
      <c r="S5" s="316">
        <v>0</v>
      </c>
      <c r="T5" s="316">
        <v>0</v>
      </c>
      <c r="U5" s="316">
        <v>0</v>
      </c>
      <c r="V5" s="316">
        <v>311115.84000000003</v>
      </c>
      <c r="W5" s="316">
        <v>0</v>
      </c>
      <c r="X5" s="316">
        <v>311115.84000000003</v>
      </c>
      <c r="Y5" s="316">
        <v>231118.20850000001</v>
      </c>
      <c r="Z5" s="316">
        <v>79997.631500000003</v>
      </c>
    </row>
    <row r="6" spans="1:26" x14ac:dyDescent="0.25">
      <c r="A6" s="172" t="s">
        <v>108</v>
      </c>
      <c r="B6" s="172" t="s">
        <v>262</v>
      </c>
      <c r="C6" s="172"/>
      <c r="D6" s="172">
        <v>0</v>
      </c>
      <c r="E6" s="375" t="s">
        <v>107</v>
      </c>
      <c r="F6" s="172">
        <v>1</v>
      </c>
      <c r="G6" s="172" t="s">
        <v>106</v>
      </c>
      <c r="H6" s="172"/>
      <c r="I6" s="374">
        <v>44670.484016203707</v>
      </c>
      <c r="J6" s="316">
        <v>7385.1710249999996</v>
      </c>
      <c r="K6" s="316">
        <v>11358.2688</v>
      </c>
      <c r="L6" s="316">
        <v>-5528.6792000000005</v>
      </c>
      <c r="M6" s="316">
        <v>17479.3017</v>
      </c>
      <c r="N6" s="316">
        <v>0</v>
      </c>
      <c r="O6" s="316">
        <v>23308.891299999999</v>
      </c>
      <c r="P6" s="316">
        <v>0</v>
      </c>
      <c r="Q6" s="316">
        <v>0</v>
      </c>
      <c r="R6" s="316">
        <v>0</v>
      </c>
      <c r="S6" s="316">
        <v>0</v>
      </c>
      <c r="T6" s="316">
        <v>0</v>
      </c>
      <c r="U6" s="316">
        <v>3186.52</v>
      </c>
      <c r="V6" s="316">
        <v>275189.77</v>
      </c>
      <c r="W6" s="316">
        <v>0</v>
      </c>
      <c r="X6" s="316">
        <v>275189.77</v>
      </c>
      <c r="Y6" s="316">
        <v>146094.9204</v>
      </c>
      <c r="Z6" s="316">
        <v>129094.84960000002</v>
      </c>
    </row>
    <row r="7" spans="1:26" x14ac:dyDescent="0.25">
      <c r="A7" s="172" t="s">
        <v>108</v>
      </c>
      <c r="B7" s="172" t="s">
        <v>264</v>
      </c>
      <c r="C7" s="172"/>
      <c r="D7" s="172">
        <v>0</v>
      </c>
      <c r="E7" s="375" t="s">
        <v>107</v>
      </c>
      <c r="F7" s="172">
        <v>1</v>
      </c>
      <c r="G7" s="172" t="s">
        <v>106</v>
      </c>
      <c r="H7" s="172"/>
      <c r="I7" s="374">
        <v>44671.585740740738</v>
      </c>
      <c r="J7" s="316">
        <v>-6841.6776250000003</v>
      </c>
      <c r="K7" s="316">
        <v>22.512000000000004</v>
      </c>
      <c r="L7" s="316">
        <v>20852.5507</v>
      </c>
      <c r="M7" s="316">
        <v>7931.7681999999995</v>
      </c>
      <c r="N7" s="316">
        <v>0</v>
      </c>
      <c r="O7" s="316">
        <v>30523.953800000003</v>
      </c>
      <c r="P7" s="316">
        <v>0</v>
      </c>
      <c r="Q7" s="316">
        <v>0</v>
      </c>
      <c r="R7" s="316">
        <v>0</v>
      </c>
      <c r="S7" s="316">
        <v>0</v>
      </c>
      <c r="T7" s="316">
        <v>0</v>
      </c>
      <c r="U7" s="316">
        <v>0</v>
      </c>
      <c r="V7" s="316">
        <v>228470</v>
      </c>
      <c r="W7" s="316">
        <v>0</v>
      </c>
      <c r="X7" s="316">
        <v>228470</v>
      </c>
      <c r="Y7" s="316">
        <v>82347.535900000003</v>
      </c>
      <c r="Z7" s="316">
        <v>146122.46410000001</v>
      </c>
    </row>
    <row r="8" spans="1:26" x14ac:dyDescent="0.25">
      <c r="A8" s="172" t="s">
        <v>108</v>
      </c>
      <c r="B8" s="172" t="s">
        <v>263</v>
      </c>
      <c r="C8" s="172"/>
      <c r="D8" s="172">
        <v>0</v>
      </c>
      <c r="E8" s="375" t="s">
        <v>107</v>
      </c>
      <c r="F8" s="172">
        <v>1</v>
      </c>
      <c r="G8" s="172" t="s">
        <v>106</v>
      </c>
      <c r="H8" s="172"/>
      <c r="I8" s="374">
        <v>44670.721030092594</v>
      </c>
      <c r="J8" s="316">
        <v>0</v>
      </c>
      <c r="K8" s="316">
        <v>0</v>
      </c>
      <c r="L8" s="316">
        <v>0</v>
      </c>
      <c r="M8" s="316">
        <v>1017.9980000000002</v>
      </c>
      <c r="N8" s="316">
        <v>0</v>
      </c>
      <c r="O8" s="316">
        <v>1241.8048000000001</v>
      </c>
      <c r="P8" s="316">
        <v>0</v>
      </c>
      <c r="Q8" s="316">
        <v>0</v>
      </c>
      <c r="R8" s="316">
        <v>0</v>
      </c>
      <c r="S8" s="316">
        <v>0</v>
      </c>
      <c r="T8" s="316">
        <v>0</v>
      </c>
      <c r="U8" s="316">
        <v>0</v>
      </c>
      <c r="V8" s="316">
        <v>295599.57130000001</v>
      </c>
      <c r="W8" s="316">
        <v>0</v>
      </c>
      <c r="X8" s="316">
        <v>295599.57130000001</v>
      </c>
      <c r="Y8" s="316">
        <v>204227.59100000001</v>
      </c>
      <c r="Z8" s="316">
        <v>91371.98030000001</v>
      </c>
    </row>
    <row r="9" spans="1:26" x14ac:dyDescent="0.25">
      <c r="A9" s="172" t="s">
        <v>108</v>
      </c>
      <c r="B9" s="172" t="s">
        <v>265</v>
      </c>
      <c r="C9" s="172"/>
      <c r="D9" s="172">
        <v>0</v>
      </c>
      <c r="E9" s="375" t="s">
        <v>107</v>
      </c>
      <c r="F9" s="172">
        <v>1</v>
      </c>
      <c r="G9" s="172" t="s">
        <v>106</v>
      </c>
      <c r="H9" s="172"/>
      <c r="I9" s="374">
        <v>44671.47997685185</v>
      </c>
      <c r="J9" s="316">
        <v>3546.3406749999999</v>
      </c>
      <c r="K9" s="316">
        <v>0</v>
      </c>
      <c r="L9" s="316">
        <v>0</v>
      </c>
      <c r="M9" s="316">
        <v>26226.855200000002</v>
      </c>
      <c r="N9" s="316">
        <v>0</v>
      </c>
      <c r="O9" s="316">
        <v>26222.0982</v>
      </c>
      <c r="P9" s="316">
        <v>0</v>
      </c>
      <c r="Q9" s="316">
        <v>0</v>
      </c>
      <c r="R9" s="316">
        <v>0</v>
      </c>
      <c r="S9" s="316">
        <v>0</v>
      </c>
      <c r="T9" s="316">
        <v>0</v>
      </c>
      <c r="U9" s="316">
        <v>0</v>
      </c>
      <c r="V9" s="316">
        <v>295599.57130000001</v>
      </c>
      <c r="W9" s="316">
        <v>0</v>
      </c>
      <c r="X9" s="316">
        <v>295599.57130000001</v>
      </c>
      <c r="Y9" s="316">
        <v>204227.59100000001</v>
      </c>
      <c r="Z9" s="316">
        <v>91371.98030000001</v>
      </c>
    </row>
    <row r="10" spans="1:26" x14ac:dyDescent="0.25">
      <c r="A10" s="172" t="s">
        <v>108</v>
      </c>
      <c r="B10" s="172" t="s">
        <v>265</v>
      </c>
      <c r="C10" s="172"/>
      <c r="D10" s="172">
        <v>0</v>
      </c>
      <c r="E10" s="375" t="s">
        <v>179</v>
      </c>
      <c r="F10" s="172">
        <v>1</v>
      </c>
      <c r="G10" s="172" t="s">
        <v>106</v>
      </c>
      <c r="H10" s="172"/>
      <c r="I10" s="374">
        <v>44761.663761574076</v>
      </c>
      <c r="J10" s="316">
        <v>0</v>
      </c>
      <c r="K10" s="316">
        <v>322.7792</v>
      </c>
      <c r="L10" s="316">
        <v>7370</v>
      </c>
      <c r="M10" s="316">
        <v>26121.886300000002</v>
      </c>
      <c r="N10" s="316">
        <v>0</v>
      </c>
      <c r="O10" s="316">
        <v>37579.114100000006</v>
      </c>
      <c r="P10" s="316">
        <v>0</v>
      </c>
      <c r="Q10" s="316">
        <v>0</v>
      </c>
      <c r="R10" s="316">
        <v>0</v>
      </c>
      <c r="S10" s="316">
        <v>0</v>
      </c>
      <c r="T10" s="316">
        <v>0</v>
      </c>
      <c r="U10" s="316">
        <v>0</v>
      </c>
      <c r="V10" s="316">
        <v>228470</v>
      </c>
      <c r="W10" s="316">
        <v>0</v>
      </c>
      <c r="X10" s="316">
        <v>228470</v>
      </c>
      <c r="Y10" s="316">
        <v>82347.535900000003</v>
      </c>
      <c r="Z10" s="316">
        <v>146122.46410000001</v>
      </c>
    </row>
    <row r="11" spans="1:26" x14ac:dyDescent="0.25">
      <c r="A11" s="172" t="s">
        <v>108</v>
      </c>
      <c r="B11" s="172" t="s">
        <v>263</v>
      </c>
      <c r="C11" s="172"/>
      <c r="D11" s="172">
        <v>0</v>
      </c>
      <c r="E11" s="375" t="s">
        <v>179</v>
      </c>
      <c r="F11" s="172">
        <v>1</v>
      </c>
      <c r="G11" s="172" t="s">
        <v>106</v>
      </c>
      <c r="H11" s="172"/>
      <c r="I11" s="374">
        <v>44760.372812499998</v>
      </c>
      <c r="J11" s="316">
        <v>0</v>
      </c>
      <c r="K11" s="316">
        <v>1695.3278000000003</v>
      </c>
      <c r="L11" s="316">
        <v>4960.68</v>
      </c>
      <c r="M11" s="316">
        <v>6509.1974</v>
      </c>
      <c r="N11" s="316">
        <v>0</v>
      </c>
      <c r="O11" s="316">
        <v>13165.205200000002</v>
      </c>
      <c r="P11" s="316">
        <v>0</v>
      </c>
      <c r="Q11" s="316">
        <v>0</v>
      </c>
      <c r="R11" s="316">
        <v>0</v>
      </c>
      <c r="S11" s="316">
        <v>0</v>
      </c>
      <c r="T11" s="316">
        <v>0</v>
      </c>
      <c r="U11" s="316">
        <v>3344.6400000000003</v>
      </c>
      <c r="V11" s="316">
        <v>275189.77</v>
      </c>
      <c r="W11" s="316">
        <v>0</v>
      </c>
      <c r="X11" s="316">
        <v>275189.77</v>
      </c>
      <c r="Y11" s="316">
        <v>146094.9204</v>
      </c>
      <c r="Z11" s="316">
        <v>129094.84960000002</v>
      </c>
    </row>
    <row r="12" spans="1:26" x14ac:dyDescent="0.25">
      <c r="A12" s="172" t="s">
        <v>108</v>
      </c>
      <c r="B12" s="172" t="s">
        <v>264</v>
      </c>
      <c r="C12" s="172"/>
      <c r="D12" s="172">
        <v>0</v>
      </c>
      <c r="E12" s="375" t="s">
        <v>179</v>
      </c>
      <c r="F12" s="172">
        <v>1</v>
      </c>
      <c r="G12" s="172" t="s">
        <v>106</v>
      </c>
      <c r="H12" s="172"/>
      <c r="I12" s="374">
        <v>44762.696087962962</v>
      </c>
      <c r="J12" s="316">
        <v>0</v>
      </c>
      <c r="K12" s="316">
        <v>0</v>
      </c>
      <c r="L12" s="316">
        <v>0</v>
      </c>
      <c r="M12" s="316">
        <v>47874.139800000004</v>
      </c>
      <c r="N12" s="316">
        <v>0</v>
      </c>
      <c r="O12" s="316">
        <v>54722.672100000003</v>
      </c>
      <c r="P12" s="316">
        <v>0</v>
      </c>
      <c r="Q12" s="316">
        <v>0</v>
      </c>
      <c r="R12" s="316">
        <v>0</v>
      </c>
      <c r="S12" s="316">
        <v>0</v>
      </c>
      <c r="T12" s="316">
        <v>0</v>
      </c>
      <c r="U12" s="316">
        <v>0</v>
      </c>
      <c r="V12" s="316">
        <v>311115.84000000003</v>
      </c>
      <c r="W12" s="316">
        <v>0</v>
      </c>
      <c r="X12" s="316">
        <v>311115.84000000003</v>
      </c>
      <c r="Y12" s="316">
        <v>231118.20850000001</v>
      </c>
      <c r="Z12" s="316">
        <v>79997.631500000003</v>
      </c>
    </row>
    <row r="13" spans="1:26" x14ac:dyDescent="0.25">
      <c r="A13" s="172" t="s">
        <v>108</v>
      </c>
      <c r="B13" s="172" t="s">
        <v>262</v>
      </c>
      <c r="C13" s="172"/>
      <c r="D13" s="172">
        <v>0</v>
      </c>
      <c r="E13" s="375" t="s">
        <v>179</v>
      </c>
      <c r="F13" s="172">
        <v>1</v>
      </c>
      <c r="G13" s="172" t="s">
        <v>106</v>
      </c>
      <c r="H13" s="172"/>
      <c r="I13" s="374">
        <v>44762.654918981483</v>
      </c>
      <c r="J13" s="316">
        <v>0</v>
      </c>
      <c r="K13" s="316">
        <v>0</v>
      </c>
      <c r="L13" s="316">
        <v>0</v>
      </c>
      <c r="M13" s="316">
        <v>-32747.074100000005</v>
      </c>
      <c r="N13" s="316">
        <v>0</v>
      </c>
      <c r="O13" s="316">
        <v>-39091.605600000003</v>
      </c>
      <c r="P13" s="316">
        <v>0</v>
      </c>
      <c r="Q13" s="316">
        <v>0</v>
      </c>
      <c r="R13" s="316">
        <v>0</v>
      </c>
      <c r="S13" s="316">
        <v>0</v>
      </c>
      <c r="T13" s="316">
        <v>0</v>
      </c>
      <c r="U13" s="316">
        <v>0</v>
      </c>
      <c r="V13" s="316">
        <v>311115.84000000003</v>
      </c>
      <c r="W13" s="316">
        <v>0</v>
      </c>
      <c r="X13" s="316">
        <v>311115.84000000003</v>
      </c>
      <c r="Y13" s="316">
        <v>231118.20850000001</v>
      </c>
      <c r="Z13" s="316">
        <v>79997.631500000003</v>
      </c>
    </row>
    <row r="14" spans="1:26" x14ac:dyDescent="0.25">
      <c r="A14" s="172" t="s">
        <v>108</v>
      </c>
      <c r="B14" s="172" t="s">
        <v>262</v>
      </c>
      <c r="C14" s="172"/>
      <c r="D14" s="172">
        <v>0</v>
      </c>
      <c r="E14" s="375" t="s">
        <v>223</v>
      </c>
      <c r="F14" s="172">
        <v>1</v>
      </c>
      <c r="G14" s="172" t="s">
        <v>106</v>
      </c>
      <c r="H14" s="172"/>
      <c r="I14" s="374">
        <v>44855.333923611113</v>
      </c>
      <c r="J14" s="316">
        <v>0</v>
      </c>
      <c r="K14" s="316">
        <v>3718.1918000000001</v>
      </c>
      <c r="L14" s="316">
        <v>15134.033700000002</v>
      </c>
      <c r="M14" s="316">
        <v>8419.8297000000002</v>
      </c>
      <c r="N14" s="316">
        <v>0</v>
      </c>
      <c r="O14" s="316">
        <v>27272.055199999999</v>
      </c>
      <c r="P14" s="316">
        <v>0</v>
      </c>
      <c r="Q14" s="316">
        <v>0</v>
      </c>
      <c r="R14" s="316">
        <v>0</v>
      </c>
      <c r="S14" s="316">
        <v>0</v>
      </c>
      <c r="T14" s="316">
        <v>0</v>
      </c>
      <c r="U14" s="316">
        <v>4142.2615999999998</v>
      </c>
      <c r="V14" s="316">
        <v>275189.77</v>
      </c>
      <c r="W14" s="316">
        <v>0</v>
      </c>
      <c r="X14" s="316">
        <v>275189.77</v>
      </c>
      <c r="Y14" s="316">
        <v>146094.9204</v>
      </c>
      <c r="Z14" s="316">
        <v>129094.84960000002</v>
      </c>
    </row>
    <row r="15" spans="1:26" x14ac:dyDescent="0.25">
      <c r="A15" s="172" t="s">
        <v>108</v>
      </c>
      <c r="B15" s="172" t="s">
        <v>264</v>
      </c>
      <c r="C15" s="172"/>
      <c r="D15" s="172">
        <v>0</v>
      </c>
      <c r="E15" s="375" t="s">
        <v>223</v>
      </c>
      <c r="F15" s="172">
        <v>1</v>
      </c>
      <c r="G15" s="172" t="s">
        <v>106</v>
      </c>
      <c r="H15" s="172"/>
      <c r="I15" s="374">
        <v>44854.670532407406</v>
      </c>
      <c r="J15" s="316">
        <v>0</v>
      </c>
      <c r="K15" s="316">
        <v>1219.1320000000001</v>
      </c>
      <c r="L15" s="316">
        <v>26697.141600000003</v>
      </c>
      <c r="M15" s="316">
        <v>32453.821800000002</v>
      </c>
      <c r="N15" s="316">
        <v>0</v>
      </c>
      <c r="O15" s="316">
        <v>63658.743500000004</v>
      </c>
      <c r="P15" s="316">
        <v>0</v>
      </c>
      <c r="Q15" s="316">
        <v>0</v>
      </c>
      <c r="R15" s="316">
        <v>0</v>
      </c>
      <c r="S15" s="316">
        <v>0</v>
      </c>
      <c r="T15" s="316">
        <v>0</v>
      </c>
      <c r="U15" s="316">
        <v>0</v>
      </c>
      <c r="V15" s="316">
        <v>228470</v>
      </c>
      <c r="W15" s="316">
        <v>0</v>
      </c>
      <c r="X15" s="316">
        <v>228470</v>
      </c>
      <c r="Y15" s="316">
        <v>82347.535900000003</v>
      </c>
      <c r="Z15" s="316">
        <v>146122.46410000001</v>
      </c>
    </row>
    <row r="16" spans="1:26" x14ac:dyDescent="0.25">
      <c r="A16" s="172" t="s">
        <v>108</v>
      </c>
      <c r="B16" s="172" t="s">
        <v>263</v>
      </c>
      <c r="C16" s="172"/>
      <c r="D16" s="172">
        <v>0</v>
      </c>
      <c r="E16" s="375" t="s">
        <v>223</v>
      </c>
      <c r="F16" s="172">
        <v>1</v>
      </c>
      <c r="G16" s="172" t="s">
        <v>106</v>
      </c>
      <c r="H16" s="172"/>
      <c r="I16" s="374">
        <v>44854.592291666668</v>
      </c>
      <c r="J16" s="316">
        <v>0</v>
      </c>
      <c r="K16" s="316">
        <v>395.05880000000002</v>
      </c>
      <c r="L16" s="316">
        <v>12334.03</v>
      </c>
      <c r="M16" s="316">
        <v>25708.368999999999</v>
      </c>
      <c r="N16" s="316">
        <v>0</v>
      </c>
      <c r="O16" s="316">
        <v>38437.457799999996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295599.57130000001</v>
      </c>
      <c r="W16" s="316">
        <v>0</v>
      </c>
      <c r="X16" s="316">
        <v>295599.57130000001</v>
      </c>
      <c r="Y16" s="316">
        <v>204227.59100000001</v>
      </c>
      <c r="Z16" s="316">
        <v>91371.98030000001</v>
      </c>
    </row>
    <row r="17" spans="1:26" x14ac:dyDescent="0.25">
      <c r="A17" s="172" t="s">
        <v>108</v>
      </c>
      <c r="B17" s="172" t="s">
        <v>265</v>
      </c>
      <c r="C17" s="172"/>
      <c r="D17" s="172">
        <v>0</v>
      </c>
      <c r="E17" s="375" t="s">
        <v>223</v>
      </c>
      <c r="F17" s="172">
        <v>1</v>
      </c>
      <c r="G17" s="172" t="s">
        <v>106</v>
      </c>
      <c r="H17" s="172"/>
      <c r="I17" s="374">
        <v>44853.570405092592</v>
      </c>
      <c r="J17" s="316">
        <v>0</v>
      </c>
      <c r="K17" s="316">
        <v>0</v>
      </c>
      <c r="L17" s="316">
        <v>0</v>
      </c>
      <c r="M17" s="316">
        <v>0</v>
      </c>
      <c r="N17" s="316">
        <v>0</v>
      </c>
      <c r="O17" s="316">
        <v>0</v>
      </c>
      <c r="P17" s="316">
        <v>0</v>
      </c>
      <c r="Q17" s="316">
        <v>0</v>
      </c>
      <c r="R17" s="316">
        <v>0</v>
      </c>
      <c r="S17" s="316">
        <v>0</v>
      </c>
      <c r="T17" s="316">
        <v>0</v>
      </c>
      <c r="U17" s="316">
        <v>0</v>
      </c>
      <c r="V17" s="316">
        <v>0</v>
      </c>
      <c r="W17" s="316">
        <v>0</v>
      </c>
      <c r="X17" s="316">
        <v>0</v>
      </c>
      <c r="Y17" s="316">
        <v>0</v>
      </c>
      <c r="Z17" s="316">
        <v>0</v>
      </c>
    </row>
    <row r="18" spans="1:26" x14ac:dyDescent="0.25">
      <c r="A18" s="172" t="s">
        <v>108</v>
      </c>
      <c r="B18" s="172" t="s">
        <v>265</v>
      </c>
      <c r="C18" s="172"/>
      <c r="D18" s="172">
        <v>0</v>
      </c>
      <c r="E18" s="172" t="s">
        <v>224</v>
      </c>
      <c r="F18" s="172">
        <v>1</v>
      </c>
      <c r="G18" s="172" t="s">
        <v>106</v>
      </c>
      <c r="H18" s="172"/>
      <c r="I18" s="374">
        <v>44945.622569444444</v>
      </c>
      <c r="J18" s="316">
        <v>0</v>
      </c>
      <c r="K18" s="316">
        <v>0</v>
      </c>
      <c r="L18" s="316">
        <v>0</v>
      </c>
      <c r="M18" s="316">
        <v>0</v>
      </c>
      <c r="N18" s="316">
        <v>0</v>
      </c>
      <c r="O18" s="316">
        <v>0</v>
      </c>
      <c r="P18" s="316">
        <v>0</v>
      </c>
      <c r="Q18" s="316">
        <v>0</v>
      </c>
      <c r="R18" s="316">
        <v>0</v>
      </c>
      <c r="S18" s="316">
        <v>0</v>
      </c>
      <c r="T18" s="316">
        <v>0</v>
      </c>
      <c r="U18" s="316">
        <v>0</v>
      </c>
      <c r="V18" s="316">
        <v>0</v>
      </c>
      <c r="W18" s="316">
        <v>0</v>
      </c>
      <c r="X18" s="316">
        <v>0</v>
      </c>
      <c r="Y18" s="316">
        <v>0</v>
      </c>
      <c r="Z18" s="316">
        <v>0</v>
      </c>
    </row>
    <row r="19" spans="1:26" x14ac:dyDescent="0.25">
      <c r="A19" s="172" t="s">
        <v>108</v>
      </c>
      <c r="B19" s="172" t="s">
        <v>263</v>
      </c>
      <c r="C19" s="172"/>
      <c r="D19" s="172">
        <v>0</v>
      </c>
      <c r="E19" s="172" t="s">
        <v>224</v>
      </c>
      <c r="F19" s="172">
        <v>1</v>
      </c>
      <c r="G19" s="172" t="s">
        <v>106</v>
      </c>
      <c r="H19" s="172"/>
      <c r="I19" s="374">
        <v>44945.800497685188</v>
      </c>
      <c r="J19" s="316">
        <v>0</v>
      </c>
      <c r="K19" s="316">
        <v>0</v>
      </c>
      <c r="L19" s="316">
        <v>0</v>
      </c>
      <c r="M19" s="316">
        <v>0</v>
      </c>
      <c r="N19" s="316">
        <v>0</v>
      </c>
      <c r="O19" s="316">
        <v>0</v>
      </c>
      <c r="P19" s="316">
        <v>0</v>
      </c>
      <c r="Q19" s="316">
        <v>0</v>
      </c>
      <c r="R19" s="316">
        <v>0</v>
      </c>
      <c r="S19" s="316">
        <v>0</v>
      </c>
      <c r="T19" s="316">
        <v>0</v>
      </c>
      <c r="U19" s="316">
        <v>0</v>
      </c>
      <c r="V19" s="316">
        <v>0</v>
      </c>
      <c r="W19" s="316">
        <v>0</v>
      </c>
      <c r="X19" s="316">
        <v>0</v>
      </c>
      <c r="Y19" s="316">
        <v>0</v>
      </c>
      <c r="Z19" s="316">
        <v>0</v>
      </c>
    </row>
    <row r="20" spans="1:26" x14ac:dyDescent="0.25">
      <c r="A20" s="172" t="s">
        <v>108</v>
      </c>
      <c r="B20" s="172" t="s">
        <v>264</v>
      </c>
      <c r="C20" s="172"/>
      <c r="D20" s="172">
        <v>0</v>
      </c>
      <c r="E20" s="172" t="s">
        <v>224</v>
      </c>
      <c r="F20" s="172">
        <v>1</v>
      </c>
      <c r="G20" s="172" t="s">
        <v>106</v>
      </c>
      <c r="H20" s="172"/>
      <c r="I20" s="374">
        <v>44946.691099537034</v>
      </c>
      <c r="J20" s="316">
        <v>0</v>
      </c>
      <c r="K20" s="316">
        <v>0</v>
      </c>
      <c r="L20" s="316">
        <v>0</v>
      </c>
      <c r="M20" s="316">
        <v>0</v>
      </c>
      <c r="N20" s="316">
        <v>0</v>
      </c>
      <c r="O20" s="316">
        <v>0</v>
      </c>
      <c r="P20" s="316">
        <v>0</v>
      </c>
      <c r="Q20" s="316">
        <v>0</v>
      </c>
      <c r="R20" s="316">
        <v>0</v>
      </c>
      <c r="S20" s="316">
        <v>0</v>
      </c>
      <c r="T20" s="316">
        <v>0</v>
      </c>
      <c r="U20" s="316">
        <v>0</v>
      </c>
      <c r="V20" s="316">
        <v>0</v>
      </c>
      <c r="W20" s="316">
        <v>0</v>
      </c>
      <c r="X20" s="316">
        <v>0</v>
      </c>
      <c r="Y20" s="316">
        <v>0</v>
      </c>
      <c r="Z20" s="316">
        <v>0</v>
      </c>
    </row>
    <row r="21" spans="1:26" x14ac:dyDescent="0.25">
      <c r="A21" s="172" t="s">
        <v>108</v>
      </c>
      <c r="B21" s="172" t="s">
        <v>262</v>
      </c>
      <c r="C21" s="172"/>
      <c r="D21" s="172">
        <v>0</v>
      </c>
      <c r="E21" s="172" t="s">
        <v>224</v>
      </c>
      <c r="F21" s="172">
        <v>1</v>
      </c>
      <c r="G21" s="172" t="s">
        <v>106</v>
      </c>
      <c r="H21" s="172"/>
      <c r="I21" s="374">
        <v>44946.724039351851</v>
      </c>
      <c r="J21" s="316">
        <v>0</v>
      </c>
      <c r="K21" s="316">
        <v>0</v>
      </c>
      <c r="L21" s="316">
        <v>0</v>
      </c>
      <c r="M21" s="316">
        <v>0</v>
      </c>
      <c r="N21" s="316">
        <v>0</v>
      </c>
      <c r="O21" s="316">
        <v>0</v>
      </c>
      <c r="P21" s="316">
        <v>0</v>
      </c>
      <c r="Q21" s="316">
        <v>0</v>
      </c>
      <c r="R21" s="316">
        <v>0</v>
      </c>
      <c r="S21" s="316">
        <v>0</v>
      </c>
      <c r="T21" s="316">
        <v>0</v>
      </c>
      <c r="U21" s="316">
        <v>0</v>
      </c>
      <c r="V21" s="316">
        <v>0</v>
      </c>
      <c r="W21" s="316">
        <v>0</v>
      </c>
      <c r="X21" s="316">
        <v>0</v>
      </c>
      <c r="Y21" s="316">
        <v>0</v>
      </c>
      <c r="Z21" s="316">
        <v>0</v>
      </c>
    </row>
    <row r="22" spans="1:26" x14ac:dyDescent="0.25">
      <c r="A22" s="172" t="s">
        <v>108</v>
      </c>
      <c r="B22" s="172" t="s">
        <v>262</v>
      </c>
      <c r="C22" s="172"/>
      <c r="D22" s="172">
        <v>0</v>
      </c>
      <c r="E22" s="375" t="s">
        <v>236</v>
      </c>
      <c r="F22" s="172">
        <v>1</v>
      </c>
      <c r="G22" s="172" t="s">
        <v>106</v>
      </c>
      <c r="H22" s="172"/>
      <c r="I22" s="374">
        <v>45036.897696759261</v>
      </c>
      <c r="J22" s="316">
        <v>0</v>
      </c>
      <c r="K22" s="316">
        <v>0</v>
      </c>
      <c r="L22" s="316">
        <v>0</v>
      </c>
      <c r="M22" s="316">
        <v>0</v>
      </c>
      <c r="N22" s="316">
        <v>0</v>
      </c>
      <c r="O22" s="316">
        <v>0</v>
      </c>
      <c r="P22" s="316">
        <v>0</v>
      </c>
      <c r="Q22" s="316">
        <v>0</v>
      </c>
      <c r="R22" s="316">
        <v>0</v>
      </c>
      <c r="S22" s="316">
        <v>0</v>
      </c>
      <c r="T22" s="316">
        <v>0</v>
      </c>
      <c r="U22" s="316">
        <v>0</v>
      </c>
      <c r="V22" s="316">
        <v>0</v>
      </c>
      <c r="W22" s="316">
        <v>0</v>
      </c>
      <c r="X22" s="316">
        <v>0</v>
      </c>
      <c r="Y22" s="316">
        <v>0</v>
      </c>
      <c r="Z22" s="316">
        <v>0</v>
      </c>
    </row>
    <row r="23" spans="1:26" x14ac:dyDescent="0.25">
      <c r="A23" s="172" t="s">
        <v>108</v>
      </c>
      <c r="B23" s="172" t="s">
        <v>264</v>
      </c>
      <c r="C23" s="172"/>
      <c r="D23" s="172">
        <v>0</v>
      </c>
      <c r="E23" s="375" t="s">
        <v>236</v>
      </c>
      <c r="F23" s="172">
        <v>1</v>
      </c>
      <c r="G23" s="172" t="s">
        <v>106</v>
      </c>
      <c r="H23" s="172"/>
      <c r="I23" s="374">
        <v>45036.570289351854</v>
      </c>
      <c r="J23" s="316">
        <v>0</v>
      </c>
      <c r="K23" s="316">
        <v>0</v>
      </c>
      <c r="L23" s="316">
        <v>0</v>
      </c>
      <c r="M23" s="316">
        <v>0</v>
      </c>
      <c r="N23" s="316">
        <v>0</v>
      </c>
      <c r="O23" s="316">
        <v>0</v>
      </c>
      <c r="P23" s="316">
        <v>0</v>
      </c>
      <c r="Q23" s="316">
        <v>0</v>
      </c>
      <c r="R23" s="316">
        <v>0</v>
      </c>
      <c r="S23" s="316">
        <v>0</v>
      </c>
      <c r="T23" s="316">
        <v>0</v>
      </c>
      <c r="U23" s="316">
        <v>0</v>
      </c>
      <c r="V23" s="316">
        <v>0</v>
      </c>
      <c r="W23" s="316">
        <v>0</v>
      </c>
      <c r="X23" s="316">
        <v>0</v>
      </c>
      <c r="Y23" s="316">
        <v>0</v>
      </c>
      <c r="Z23" s="316">
        <v>0</v>
      </c>
    </row>
    <row r="24" spans="1:26" x14ac:dyDescent="0.25">
      <c r="A24" s="172" t="s">
        <v>108</v>
      </c>
      <c r="B24" s="172" t="s">
        <v>263</v>
      </c>
      <c r="C24" s="172"/>
      <c r="D24" s="172">
        <v>0</v>
      </c>
      <c r="E24" s="375" t="s">
        <v>236</v>
      </c>
      <c r="F24" s="172">
        <v>1</v>
      </c>
      <c r="G24" s="172" t="s">
        <v>106</v>
      </c>
      <c r="H24" s="172"/>
      <c r="I24" s="374">
        <v>45036.590949074074</v>
      </c>
      <c r="J24" s="316">
        <v>0</v>
      </c>
      <c r="K24" s="316">
        <v>0</v>
      </c>
      <c r="L24" s="316">
        <v>0</v>
      </c>
      <c r="M24" s="316">
        <v>0</v>
      </c>
      <c r="N24" s="316">
        <v>0</v>
      </c>
      <c r="O24" s="316">
        <v>0</v>
      </c>
      <c r="P24" s="316">
        <v>0</v>
      </c>
      <c r="Q24" s="316">
        <v>0</v>
      </c>
      <c r="R24" s="316">
        <v>0</v>
      </c>
      <c r="S24" s="316">
        <v>0</v>
      </c>
      <c r="T24" s="316">
        <v>0</v>
      </c>
      <c r="U24" s="316">
        <v>0</v>
      </c>
      <c r="V24" s="316">
        <v>0</v>
      </c>
      <c r="W24" s="316">
        <v>0</v>
      </c>
      <c r="X24" s="316">
        <v>0</v>
      </c>
      <c r="Y24" s="316">
        <v>0</v>
      </c>
      <c r="Z24" s="316">
        <v>0</v>
      </c>
    </row>
    <row r="25" spans="1:26" x14ac:dyDescent="0.25">
      <c r="A25" s="172" t="s">
        <v>108</v>
      </c>
      <c r="B25" s="172" t="s">
        <v>265</v>
      </c>
      <c r="C25" s="172"/>
      <c r="D25" s="172">
        <v>0</v>
      </c>
      <c r="E25" s="375" t="s">
        <v>236</v>
      </c>
      <c r="F25" s="172">
        <v>1</v>
      </c>
      <c r="G25" s="172" t="s">
        <v>106</v>
      </c>
      <c r="H25" s="172"/>
      <c r="I25" s="374">
        <v>45036.404293981483</v>
      </c>
      <c r="J25" s="316">
        <v>0</v>
      </c>
      <c r="K25" s="316">
        <v>0</v>
      </c>
      <c r="L25" s="316">
        <v>0</v>
      </c>
      <c r="M25" s="316">
        <v>0</v>
      </c>
      <c r="N25" s="316">
        <v>0</v>
      </c>
      <c r="O25" s="316">
        <v>0</v>
      </c>
      <c r="P25" s="316">
        <v>0</v>
      </c>
      <c r="Q25" s="316">
        <v>0</v>
      </c>
      <c r="R25" s="316">
        <v>0</v>
      </c>
      <c r="S25" s="316">
        <v>0</v>
      </c>
      <c r="T25" s="316">
        <v>0</v>
      </c>
      <c r="U25" s="316">
        <v>0</v>
      </c>
      <c r="V25" s="316">
        <v>0</v>
      </c>
      <c r="W25" s="316">
        <v>0</v>
      </c>
      <c r="X25" s="316">
        <v>0</v>
      </c>
      <c r="Y25" s="316">
        <v>0</v>
      </c>
      <c r="Z25" s="316">
        <v>0</v>
      </c>
    </row>
    <row r="26" spans="1:26" ht="15.75" thickBot="1" x14ac:dyDescent="0.3"/>
    <row r="27" spans="1:26" ht="45" x14ac:dyDescent="0.25">
      <c r="B27" s="301" t="s">
        <v>225</v>
      </c>
      <c r="C27" s="295" t="s">
        <v>125</v>
      </c>
      <c r="D27" s="295" t="s">
        <v>13</v>
      </c>
      <c r="E27" s="295" t="s">
        <v>124</v>
      </c>
      <c r="F27" s="295" t="s">
        <v>123</v>
      </c>
      <c r="G27" s="296" t="s">
        <v>122</v>
      </c>
      <c r="H27" s="312" t="s">
        <v>96</v>
      </c>
    </row>
    <row r="28" spans="1:26" x14ac:dyDescent="0.25">
      <c r="B28" s="367" t="s">
        <v>288</v>
      </c>
      <c r="C28" s="368">
        <f>SUM(C29:C32)</f>
        <v>8144.1283749999984</v>
      </c>
      <c r="D28" s="368">
        <f t="shared" ref="D28:G28" si="0">SUM(D29:D32)</f>
        <v>20700.307850000001</v>
      </c>
      <c r="E28" s="368">
        <f t="shared" si="0"/>
        <v>93351.509950000007</v>
      </c>
      <c r="F28" s="368">
        <f t="shared" si="0"/>
        <v>159840.10564999998</v>
      </c>
      <c r="G28" s="368">
        <f t="shared" si="0"/>
        <v>4059.4240499999996</v>
      </c>
      <c r="H28" s="366"/>
    </row>
    <row r="29" spans="1:26" x14ac:dyDescent="0.25">
      <c r="B29" s="297" t="str">
        <f>B3</f>
        <v>Partner 4</v>
      </c>
      <c r="C29" s="294">
        <f>SUMIFS(J3:J25,$B$3:$B$25,$B$29)</f>
        <v>3541.2109249999999</v>
      </c>
      <c r="D29" s="294">
        <f>SUMIFS(K3:K25,$B$3:$B$25,$B$29)</f>
        <v>322.7792</v>
      </c>
      <c r="E29" s="294">
        <f>SUMIFS(L3:L25,$B$3:$B$25,$B$29)</f>
        <v>32137.039100000005</v>
      </c>
      <c r="F29" s="294">
        <f t="shared" ref="F29:G29" si="1">SUMIFS(M3:M25,$B$3:$B$25,$B$29)</f>
        <v>58671.960300000006</v>
      </c>
      <c r="G29" s="294">
        <f t="shared" si="1"/>
        <v>0</v>
      </c>
      <c r="H29" s="313">
        <f>SUM(C29:G29)</f>
        <v>94672.989525000012</v>
      </c>
    </row>
    <row r="30" spans="1:26" x14ac:dyDescent="0.25">
      <c r="B30" s="298" t="str">
        <f>B4</f>
        <v>Partner 2</v>
      </c>
      <c r="C30" s="293">
        <f>SUMIFS($J$3:$J$25,$B$3:$B$25,$B$30)</f>
        <v>4059.4240499999996</v>
      </c>
      <c r="D30" s="293">
        <f t="shared" ref="D30:G30" si="2">SUMIFS($J$3:$J$25,$B$3:$B$25,$B$30)</f>
        <v>4059.4240499999996</v>
      </c>
      <c r="E30" s="293">
        <f t="shared" si="2"/>
        <v>4059.4240499999996</v>
      </c>
      <c r="F30" s="293">
        <f t="shared" si="2"/>
        <v>4059.4240499999996</v>
      </c>
      <c r="G30" s="293">
        <f t="shared" si="2"/>
        <v>4059.4240499999996</v>
      </c>
      <c r="H30" s="314">
        <f t="shared" ref="H30:H32" si="3">SUM(C30:G30)</f>
        <v>20297.12025</v>
      </c>
      <c r="J30">
        <v>0</v>
      </c>
    </row>
    <row r="31" spans="1:26" x14ac:dyDescent="0.25">
      <c r="B31" s="297" t="str">
        <f>B5</f>
        <v>Partner 3</v>
      </c>
      <c r="C31" s="294">
        <f>SUMIFS(J$3:J$25,$B$3:$B$25,$B$31)</f>
        <v>7385.1710249999996</v>
      </c>
      <c r="D31" s="294">
        <f t="shared" ref="D31:G31" si="4">SUMIFS(K$3:K$25,$B$3:$B$25,$B$31)</f>
        <v>15076.4606</v>
      </c>
      <c r="E31" s="294">
        <f t="shared" si="4"/>
        <v>9605.3545000000013</v>
      </c>
      <c r="F31" s="294">
        <f t="shared" si="4"/>
        <v>8848.9914999999946</v>
      </c>
      <c r="G31" s="294">
        <f t="shared" si="4"/>
        <v>0</v>
      </c>
      <c r="H31" s="313">
        <f t="shared" si="3"/>
        <v>40915.977625</v>
      </c>
    </row>
    <row r="32" spans="1:26" ht="15.75" thickBot="1" x14ac:dyDescent="0.3">
      <c r="B32" s="299" t="str">
        <f>B7</f>
        <v>Partner 1</v>
      </c>
      <c r="C32" s="300">
        <f>SUMIFS(J$3:J25,$B$3:$B$25,$B$32)</f>
        <v>-6841.6776250000003</v>
      </c>
      <c r="D32" s="300">
        <f>SUMIFS(K$3:K25,$B$3:$B$25,$B$32)</f>
        <v>1241.644</v>
      </c>
      <c r="E32" s="300">
        <f>SUMIFS(L$3:L25,$B$3:$B$25,$B$32)</f>
        <v>47549.692300000002</v>
      </c>
      <c r="F32" s="300">
        <f>SUMIFS(M$3:M25,$B$3:$B$25,$B$32)</f>
        <v>88259.729800000001</v>
      </c>
      <c r="G32" s="300">
        <f>SUMIFS(N$3:N25,$B$3:$B$25,$B$32)</f>
        <v>0</v>
      </c>
      <c r="H32" s="315">
        <f t="shared" si="3"/>
        <v>130209.388475</v>
      </c>
    </row>
  </sheetData>
  <mergeCells count="1">
    <mergeCell ref="A1:Z1"/>
  </mergeCells>
  <pageMargins left="0.75" right="0.75" top="1" bottom="1" header="0.5" footer="0.5"/>
  <pageSetup orientation="portrait" horizontalDpi="204" verticalDpi="1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213B-3032-4C9A-A8CF-5E5D53BE73F9}">
  <sheetPr>
    <tabColor rgb="FFFF0000"/>
  </sheetPr>
  <dimension ref="A1:J6"/>
  <sheetViews>
    <sheetView showGridLines="0" workbookViewId="0">
      <selection activeCell="V3" sqref="V3"/>
    </sheetView>
  </sheetViews>
  <sheetFormatPr defaultRowHeight="15" x14ac:dyDescent="0.25"/>
  <cols>
    <col min="1" max="1" width="36.5703125" bestFit="1" customWidth="1"/>
    <col min="2" max="2" width="32" bestFit="1" customWidth="1"/>
    <col min="3" max="3" width="27.140625" bestFit="1" customWidth="1"/>
    <col min="4" max="4" width="15.7109375" bestFit="1" customWidth="1"/>
    <col min="5" max="5" width="11.5703125" bestFit="1" customWidth="1"/>
    <col min="6" max="6" width="17.28515625" bestFit="1" customWidth="1"/>
    <col min="7" max="7" width="29.28515625" bestFit="1" customWidth="1"/>
    <col min="8" max="8" width="11.5703125" bestFit="1" customWidth="1"/>
    <col min="9" max="9" width="15.85546875" bestFit="1" customWidth="1"/>
    <col min="10" max="10" width="15.5703125" bestFit="1" customWidth="1"/>
  </cols>
  <sheetData>
    <row r="1" spans="1:10" ht="15" customHeight="1" x14ac:dyDescent="0.25">
      <c r="A1" s="655" t="s">
        <v>237</v>
      </c>
      <c r="B1" s="656"/>
      <c r="C1" s="656"/>
      <c r="D1" s="656"/>
      <c r="E1" s="656"/>
      <c r="F1" s="656"/>
      <c r="G1" s="656"/>
      <c r="H1" s="656"/>
      <c r="I1" s="656"/>
      <c r="J1" s="657"/>
    </row>
    <row r="2" spans="1:10" x14ac:dyDescent="0.25">
      <c r="A2" s="172" t="s">
        <v>102</v>
      </c>
      <c r="B2" s="172" t="s">
        <v>101</v>
      </c>
      <c r="C2" s="172" t="s">
        <v>100</v>
      </c>
      <c r="D2" s="172" t="s">
        <v>175</v>
      </c>
      <c r="E2" s="172" t="s">
        <v>114</v>
      </c>
      <c r="F2" s="172" t="s">
        <v>174</v>
      </c>
      <c r="G2" s="172" t="s">
        <v>173</v>
      </c>
      <c r="H2" s="172" t="s">
        <v>172</v>
      </c>
      <c r="I2" s="172" t="s">
        <v>171</v>
      </c>
      <c r="J2" s="172" t="s">
        <v>170</v>
      </c>
    </row>
    <row r="3" spans="1:10" x14ac:dyDescent="0.25">
      <c r="A3" s="172" t="s">
        <v>264</v>
      </c>
      <c r="B3" s="172"/>
      <c r="C3" s="172"/>
      <c r="D3" s="317">
        <v>45657</v>
      </c>
      <c r="E3" s="316">
        <v>400000</v>
      </c>
      <c r="F3" s="316">
        <v>50000</v>
      </c>
      <c r="G3" s="316"/>
      <c r="H3" s="316"/>
      <c r="I3" s="316"/>
      <c r="J3" s="316"/>
    </row>
    <row r="4" spans="1:10" x14ac:dyDescent="0.25">
      <c r="A4" s="172" t="s">
        <v>263</v>
      </c>
      <c r="B4" s="172"/>
      <c r="C4" s="172"/>
      <c r="D4" s="317">
        <v>45657</v>
      </c>
      <c r="E4" s="316">
        <v>400100</v>
      </c>
      <c r="F4" s="316">
        <v>45000</v>
      </c>
      <c r="G4" s="316"/>
      <c r="H4" s="316"/>
      <c r="I4" s="316"/>
      <c r="J4" s="316"/>
    </row>
    <row r="5" spans="1:10" x14ac:dyDescent="0.25">
      <c r="A5" s="172" t="s">
        <v>262</v>
      </c>
      <c r="B5" s="172"/>
      <c r="C5" s="172"/>
      <c r="D5" s="317">
        <v>45657</v>
      </c>
      <c r="E5" s="316">
        <v>380000</v>
      </c>
      <c r="F5" s="316">
        <v>98000</v>
      </c>
      <c r="G5" s="316"/>
      <c r="H5" s="316"/>
      <c r="I5" s="316"/>
      <c r="J5" s="316"/>
    </row>
    <row r="6" spans="1:10" x14ac:dyDescent="0.25">
      <c r="A6" s="172" t="s">
        <v>265</v>
      </c>
      <c r="B6" s="172"/>
      <c r="C6" s="172"/>
      <c r="D6" s="317">
        <v>45657</v>
      </c>
      <c r="E6" s="316">
        <v>240000</v>
      </c>
      <c r="F6" s="316">
        <v>24500</v>
      </c>
      <c r="G6" s="316"/>
      <c r="H6" s="316"/>
      <c r="I6" s="316"/>
      <c r="J6" s="316"/>
    </row>
  </sheetData>
  <mergeCells count="1">
    <mergeCell ref="A1:J1"/>
  </mergeCells>
  <pageMargins left="0.75" right="0.75" top="1" bottom="1" header="0.5" footer="0.5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541D-40A5-4BB0-B9B5-B0BC8581ABBE}">
  <sheetPr>
    <tabColor theme="3"/>
  </sheetPr>
  <dimension ref="A1:W30"/>
  <sheetViews>
    <sheetView workbookViewId="0">
      <selection activeCell="T4" sqref="T4"/>
    </sheetView>
  </sheetViews>
  <sheetFormatPr defaultRowHeight="15" x14ac:dyDescent="0.25"/>
  <cols>
    <col min="1" max="1" width="17.42578125" customWidth="1"/>
    <col min="2" max="2" width="11.5703125" customWidth="1"/>
    <col min="3" max="3" width="8.140625" bestFit="1" customWidth="1"/>
    <col min="4" max="5" width="10.28515625" customWidth="1"/>
    <col min="6" max="6" width="14.140625" customWidth="1"/>
    <col min="7" max="7" width="11.7109375" bestFit="1" customWidth="1"/>
    <col min="12" max="12" width="9.140625" style="171"/>
    <col min="14" max="14" width="10.28515625" customWidth="1"/>
    <col min="15" max="15" width="45" customWidth="1"/>
  </cols>
  <sheetData>
    <row r="1" spans="1:23" ht="48.75" customHeight="1" thickBot="1" x14ac:dyDescent="0.75">
      <c r="A1" s="662" t="s">
        <v>284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4"/>
    </row>
    <row r="2" spans="1:23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s="658" t="s">
        <v>200</v>
      </c>
      <c r="I2" s="658"/>
      <c r="J2" s="658"/>
      <c r="K2" s="658"/>
      <c r="L2" s="659"/>
      <c r="M2" s="170" t="s">
        <v>241</v>
      </c>
    </row>
    <row r="3" spans="1:23" ht="15.75" thickBot="1" x14ac:dyDescent="0.3">
      <c r="A3" t="s">
        <v>315</v>
      </c>
      <c r="B3" s="271"/>
      <c r="C3" t="s">
        <v>138</v>
      </c>
      <c r="D3" s="271"/>
      <c r="E3" s="271"/>
      <c r="F3" t="s">
        <v>139</v>
      </c>
      <c r="G3" t="s">
        <v>140</v>
      </c>
      <c r="H3" s="201" t="str">
        <f t="shared" ref="H3:H19" si="0">VLOOKUP(G3,$N$5:$O$24,2,FALSE)</f>
        <v>Nursing Assistant</v>
      </c>
      <c r="I3" s="201"/>
      <c r="J3" s="201"/>
      <c r="K3" s="201"/>
      <c r="L3" s="275"/>
      <c r="N3" t="s">
        <v>143</v>
      </c>
      <c r="P3" s="178" t="s">
        <v>144</v>
      </c>
    </row>
    <row r="4" spans="1:23" x14ac:dyDescent="0.25">
      <c r="A4" t="s">
        <v>316</v>
      </c>
      <c r="B4" s="271"/>
      <c r="C4" t="s">
        <v>138</v>
      </c>
      <c r="D4" s="271"/>
      <c r="E4" s="271"/>
      <c r="F4" t="s">
        <v>187</v>
      </c>
      <c r="G4" t="s">
        <v>152</v>
      </c>
      <c r="H4" s="201" t="str">
        <f t="shared" si="0"/>
        <v>Registered Nurse</v>
      </c>
      <c r="I4" s="201"/>
      <c r="J4" s="201"/>
      <c r="K4" s="201"/>
      <c r="L4" s="275"/>
      <c r="N4" s="660" t="s">
        <v>283</v>
      </c>
      <c r="O4" s="661"/>
      <c r="P4" s="279" t="s">
        <v>198</v>
      </c>
      <c r="Q4" s="280"/>
      <c r="R4" s="280"/>
      <c r="S4" s="280"/>
      <c r="T4" s="1"/>
    </row>
    <row r="5" spans="1:23" x14ac:dyDescent="0.25">
      <c r="A5" t="s">
        <v>317</v>
      </c>
      <c r="B5" s="271"/>
      <c r="C5" t="s">
        <v>138</v>
      </c>
      <c r="D5" s="271"/>
      <c r="E5" s="271"/>
      <c r="F5" t="s">
        <v>139</v>
      </c>
      <c r="G5" t="s">
        <v>140</v>
      </c>
      <c r="H5" s="201" t="str">
        <f t="shared" si="0"/>
        <v>Nursing Assistant</v>
      </c>
      <c r="I5" s="201"/>
      <c r="J5" s="201"/>
      <c r="K5" s="201"/>
      <c r="L5" s="275"/>
      <c r="N5" s="179" t="s">
        <v>140</v>
      </c>
      <c r="O5" t="s">
        <v>142</v>
      </c>
      <c r="P5" s="277">
        <f t="shared" ref="P5:P24" si="1">COUNTIF($H$3:$H$30,O5)</f>
        <v>10</v>
      </c>
      <c r="T5" s="1"/>
    </row>
    <row r="6" spans="1:23" x14ac:dyDescent="0.25">
      <c r="A6" t="s">
        <v>318</v>
      </c>
      <c r="B6" s="271"/>
      <c r="C6" t="s">
        <v>138</v>
      </c>
      <c r="D6" s="271"/>
      <c r="E6" s="271"/>
      <c r="F6" t="s">
        <v>205</v>
      </c>
      <c r="G6" t="s">
        <v>152</v>
      </c>
      <c r="H6" s="201" t="str">
        <f t="shared" si="0"/>
        <v>Registered Nurse</v>
      </c>
      <c r="I6" s="201"/>
      <c r="J6" s="201"/>
      <c r="K6" s="201"/>
      <c r="L6" s="275"/>
      <c r="N6" s="179" t="s">
        <v>141</v>
      </c>
      <c r="O6" t="s">
        <v>145</v>
      </c>
      <c r="P6" s="277">
        <f t="shared" si="1"/>
        <v>2</v>
      </c>
      <c r="T6" s="1"/>
    </row>
    <row r="7" spans="1:23" x14ac:dyDescent="0.25">
      <c r="A7" t="s">
        <v>319</v>
      </c>
      <c r="B7" s="271"/>
      <c r="C7" t="s">
        <v>138</v>
      </c>
      <c r="D7" s="271"/>
      <c r="G7" t="s">
        <v>150</v>
      </c>
      <c r="H7" s="201" t="str">
        <f t="shared" si="0"/>
        <v>Medical Assistant</v>
      </c>
      <c r="I7" s="201"/>
      <c r="J7" s="201"/>
      <c r="K7" s="201"/>
      <c r="L7" s="275"/>
      <c r="N7" s="179" t="s">
        <v>146</v>
      </c>
      <c r="O7" t="s">
        <v>147</v>
      </c>
      <c r="P7" s="277">
        <f t="shared" si="1"/>
        <v>1</v>
      </c>
      <c r="T7" s="1"/>
    </row>
    <row r="8" spans="1:23" x14ac:dyDescent="0.25">
      <c r="A8" t="s">
        <v>320</v>
      </c>
      <c r="B8" s="271"/>
      <c r="C8" t="s">
        <v>138</v>
      </c>
      <c r="D8" s="271"/>
      <c r="E8" s="271"/>
      <c r="F8" t="s">
        <v>139</v>
      </c>
      <c r="G8" t="s">
        <v>141</v>
      </c>
      <c r="H8" s="201" t="str">
        <f t="shared" si="0"/>
        <v>Phlebotamist</v>
      </c>
      <c r="I8" s="201"/>
      <c r="J8" s="201"/>
      <c r="K8" s="201"/>
      <c r="L8" s="275"/>
      <c r="N8" s="179" t="s">
        <v>148</v>
      </c>
      <c r="O8" t="s">
        <v>149</v>
      </c>
      <c r="P8" s="277">
        <f t="shared" si="1"/>
        <v>2</v>
      </c>
      <c r="T8" s="1"/>
    </row>
    <row r="9" spans="1:23" x14ac:dyDescent="0.25">
      <c r="A9" t="s">
        <v>321</v>
      </c>
      <c r="B9" s="271"/>
      <c r="C9" t="s">
        <v>138</v>
      </c>
      <c r="D9" s="271"/>
      <c r="G9" t="s">
        <v>152</v>
      </c>
      <c r="H9" s="201" t="str">
        <f t="shared" si="0"/>
        <v>Registered Nurse</v>
      </c>
      <c r="I9" s="201"/>
      <c r="J9" s="201"/>
      <c r="K9" s="201"/>
      <c r="L9" s="275"/>
      <c r="N9" s="179" t="s">
        <v>150</v>
      </c>
      <c r="O9" t="s">
        <v>151</v>
      </c>
      <c r="P9" s="277">
        <f t="shared" si="1"/>
        <v>4</v>
      </c>
      <c r="T9" s="1"/>
    </row>
    <row r="10" spans="1:23" x14ac:dyDescent="0.25">
      <c r="A10" t="s">
        <v>322</v>
      </c>
      <c r="B10" s="271"/>
      <c r="C10" t="s">
        <v>138</v>
      </c>
      <c r="D10" s="271"/>
      <c r="G10" t="s">
        <v>188</v>
      </c>
      <c r="H10" s="201" t="str">
        <f t="shared" si="0"/>
        <v>Surgical Technologist</v>
      </c>
      <c r="I10" s="201"/>
      <c r="J10" s="201"/>
      <c r="K10" s="201"/>
      <c r="L10" s="275"/>
      <c r="N10" s="179" t="s">
        <v>152</v>
      </c>
      <c r="O10" t="s">
        <v>153</v>
      </c>
      <c r="P10" s="277">
        <f t="shared" si="1"/>
        <v>8</v>
      </c>
      <c r="T10" s="1"/>
    </row>
    <row r="11" spans="1:23" x14ac:dyDescent="0.25">
      <c r="A11" t="s">
        <v>323</v>
      </c>
      <c r="B11" s="271"/>
      <c r="C11" t="s">
        <v>138</v>
      </c>
      <c r="D11" s="271"/>
      <c r="E11" s="271"/>
      <c r="F11" t="s">
        <v>139</v>
      </c>
      <c r="G11" t="s">
        <v>140</v>
      </c>
      <c r="H11" s="201" t="str">
        <f t="shared" si="0"/>
        <v>Nursing Assistant</v>
      </c>
      <c r="I11" s="201"/>
      <c r="J11" s="201"/>
      <c r="K11" s="201"/>
      <c r="L11" s="275"/>
      <c r="N11" s="179" t="s">
        <v>154</v>
      </c>
      <c r="O11" t="s">
        <v>155</v>
      </c>
      <c r="P11" s="277">
        <f t="shared" si="1"/>
        <v>0</v>
      </c>
      <c r="T11" s="1"/>
    </row>
    <row r="12" spans="1:23" x14ac:dyDescent="0.25">
      <c r="A12" t="s">
        <v>324</v>
      </c>
      <c r="B12" s="271"/>
      <c r="C12" t="s">
        <v>138</v>
      </c>
      <c r="D12" s="271"/>
      <c r="E12" s="271"/>
      <c r="F12" t="s">
        <v>139</v>
      </c>
      <c r="G12" t="s">
        <v>140</v>
      </c>
      <c r="H12" s="201" t="str">
        <f t="shared" si="0"/>
        <v>Nursing Assistant</v>
      </c>
      <c r="I12" s="201"/>
      <c r="J12" s="201"/>
      <c r="K12" s="201"/>
      <c r="L12" s="275"/>
      <c r="N12" s="179" t="s">
        <v>156</v>
      </c>
      <c r="O12" t="s">
        <v>157</v>
      </c>
      <c r="P12" s="277">
        <f t="shared" si="1"/>
        <v>0</v>
      </c>
      <c r="T12" s="1"/>
    </row>
    <row r="13" spans="1:23" x14ac:dyDescent="0.25">
      <c r="A13" t="s">
        <v>325</v>
      </c>
      <c r="B13" s="271"/>
      <c r="C13" t="s">
        <v>138</v>
      </c>
      <c r="D13" s="271"/>
      <c r="E13" s="271"/>
      <c r="F13" t="s">
        <v>139</v>
      </c>
      <c r="G13" t="s">
        <v>140</v>
      </c>
      <c r="H13" s="201" t="str">
        <f t="shared" si="0"/>
        <v>Nursing Assistant</v>
      </c>
      <c r="I13" s="201"/>
      <c r="J13" s="201"/>
      <c r="K13" s="201"/>
      <c r="L13" s="275"/>
      <c r="N13" s="179" t="s">
        <v>158</v>
      </c>
      <c r="O13" t="s">
        <v>159</v>
      </c>
      <c r="P13" s="277">
        <f t="shared" si="1"/>
        <v>0</v>
      </c>
      <c r="T13" s="1"/>
    </row>
    <row r="14" spans="1:23" x14ac:dyDescent="0.25">
      <c r="A14" t="s">
        <v>326</v>
      </c>
      <c r="B14" s="271"/>
      <c r="C14" t="s">
        <v>138</v>
      </c>
      <c r="D14" s="271"/>
      <c r="G14" t="s">
        <v>150</v>
      </c>
      <c r="H14" s="201" t="str">
        <f t="shared" si="0"/>
        <v>Medical Assistant</v>
      </c>
      <c r="I14" s="201"/>
      <c r="J14" s="201"/>
      <c r="K14" s="201"/>
      <c r="L14" s="275"/>
      <c r="N14" s="179" t="s">
        <v>161</v>
      </c>
      <c r="O14" t="s">
        <v>162</v>
      </c>
      <c r="P14" s="277">
        <f t="shared" si="1"/>
        <v>0</v>
      </c>
      <c r="T14" s="1"/>
    </row>
    <row r="15" spans="1:23" x14ac:dyDescent="0.25">
      <c r="A15" t="s">
        <v>327</v>
      </c>
      <c r="B15" s="271"/>
      <c r="C15" t="s">
        <v>138</v>
      </c>
      <c r="D15" s="271"/>
      <c r="E15" s="271"/>
      <c r="F15" t="s">
        <v>139</v>
      </c>
      <c r="G15" t="s">
        <v>141</v>
      </c>
      <c r="H15" s="201" t="str">
        <f t="shared" si="0"/>
        <v>Phlebotamist</v>
      </c>
      <c r="I15" s="201"/>
      <c r="J15" s="201"/>
      <c r="K15" s="201"/>
      <c r="L15" s="275"/>
      <c r="N15" s="179" t="s">
        <v>163</v>
      </c>
      <c r="O15" t="s">
        <v>164</v>
      </c>
      <c r="P15" s="277">
        <f t="shared" si="1"/>
        <v>0</v>
      </c>
      <c r="T15" s="1"/>
    </row>
    <row r="16" spans="1:23" x14ac:dyDescent="0.25">
      <c r="A16" t="s">
        <v>328</v>
      </c>
      <c r="B16" s="271"/>
      <c r="C16" t="s">
        <v>138</v>
      </c>
      <c r="D16" s="271"/>
      <c r="E16" s="271"/>
      <c r="F16" t="s">
        <v>139</v>
      </c>
      <c r="G16" t="s">
        <v>140</v>
      </c>
      <c r="H16" s="201" t="str">
        <f t="shared" si="0"/>
        <v>Nursing Assistant</v>
      </c>
      <c r="I16" s="201"/>
      <c r="J16" s="201"/>
      <c r="K16" s="201"/>
      <c r="L16" s="275"/>
      <c r="N16" s="179" t="s">
        <v>165</v>
      </c>
      <c r="O16" t="s">
        <v>166</v>
      </c>
      <c r="P16" s="277">
        <f t="shared" si="1"/>
        <v>0</v>
      </c>
      <c r="T16" s="1"/>
    </row>
    <row r="17" spans="1:20" x14ac:dyDescent="0.25">
      <c r="A17" t="s">
        <v>329</v>
      </c>
      <c r="B17" s="271"/>
      <c r="C17" t="s">
        <v>138</v>
      </c>
      <c r="D17" s="271"/>
      <c r="E17" s="271"/>
      <c r="F17" t="s">
        <v>139</v>
      </c>
      <c r="G17" t="s">
        <v>140</v>
      </c>
      <c r="H17" s="201" t="str">
        <f t="shared" si="0"/>
        <v>Nursing Assistant</v>
      </c>
      <c r="I17" s="201"/>
      <c r="J17" s="201"/>
      <c r="K17" s="201"/>
      <c r="L17" s="275"/>
      <c r="N17" s="272" t="s">
        <v>191</v>
      </c>
      <c r="O17" t="s">
        <v>248</v>
      </c>
      <c r="P17" s="277">
        <f t="shared" si="1"/>
        <v>0</v>
      </c>
      <c r="T17" s="1"/>
    </row>
    <row r="18" spans="1:20" x14ac:dyDescent="0.25">
      <c r="A18" t="s">
        <v>330</v>
      </c>
      <c r="B18" s="271"/>
      <c r="C18" t="s">
        <v>138</v>
      </c>
      <c r="D18" s="271"/>
      <c r="E18" s="271"/>
      <c r="F18" t="s">
        <v>139</v>
      </c>
      <c r="G18" t="s">
        <v>146</v>
      </c>
      <c r="H18" s="201" t="str">
        <f t="shared" si="0"/>
        <v>Nursing Assistant (outdated ONET code)</v>
      </c>
      <c r="I18" s="201"/>
      <c r="J18" s="201"/>
      <c r="K18" s="201"/>
      <c r="L18" s="275"/>
      <c r="N18" s="272" t="s">
        <v>185</v>
      </c>
      <c r="O18" t="s">
        <v>192</v>
      </c>
      <c r="P18" s="277">
        <f t="shared" si="1"/>
        <v>0</v>
      </c>
      <c r="T18" s="1"/>
    </row>
    <row r="19" spans="1:20" x14ac:dyDescent="0.25">
      <c r="A19" t="s">
        <v>331</v>
      </c>
      <c r="B19" s="271"/>
      <c r="C19" t="s">
        <v>138</v>
      </c>
      <c r="D19" s="271"/>
      <c r="E19" s="271"/>
      <c r="F19" t="s">
        <v>139</v>
      </c>
      <c r="G19" t="s">
        <v>150</v>
      </c>
      <c r="H19" s="201" t="str">
        <f t="shared" si="0"/>
        <v>Medical Assistant</v>
      </c>
      <c r="I19" s="201"/>
      <c r="J19" s="201"/>
      <c r="K19" s="201"/>
      <c r="L19" s="275"/>
      <c r="N19" s="272" t="s">
        <v>239</v>
      </c>
      <c r="O19" s="370" t="s">
        <v>240</v>
      </c>
      <c r="P19" s="277">
        <f t="shared" si="1"/>
        <v>0</v>
      </c>
      <c r="T19" s="1"/>
    </row>
    <row r="20" spans="1:20" x14ac:dyDescent="0.25">
      <c r="A20" t="s">
        <v>332</v>
      </c>
      <c r="B20" s="271"/>
      <c r="C20" t="s">
        <v>138</v>
      </c>
      <c r="D20" s="271"/>
      <c r="E20" s="271"/>
      <c r="F20" t="s">
        <v>160</v>
      </c>
      <c r="G20" t="s">
        <v>152</v>
      </c>
      <c r="H20" s="201" t="str">
        <f t="shared" ref="H20:H30" si="2">VLOOKUP(G20,$N$5:$O$24,2,FALSE)</f>
        <v>Registered Nurse</v>
      </c>
      <c r="I20" s="201"/>
      <c r="J20" s="201"/>
      <c r="K20" s="201"/>
      <c r="L20" s="275"/>
      <c r="N20" s="272" t="s">
        <v>204</v>
      </c>
      <c r="O20" t="s">
        <v>206</v>
      </c>
      <c r="P20" s="277">
        <f t="shared" si="1"/>
        <v>0</v>
      </c>
      <c r="T20" s="1"/>
    </row>
    <row r="21" spans="1:20" x14ac:dyDescent="0.25">
      <c r="A21" t="s">
        <v>333</v>
      </c>
      <c r="B21" s="271"/>
      <c r="C21" t="s">
        <v>138</v>
      </c>
      <c r="D21" s="271"/>
      <c r="E21" s="271"/>
      <c r="F21" t="s">
        <v>205</v>
      </c>
      <c r="G21" t="s">
        <v>152</v>
      </c>
      <c r="H21" s="201" t="str">
        <f t="shared" si="2"/>
        <v>Registered Nurse</v>
      </c>
      <c r="I21" s="201"/>
      <c r="J21" s="201"/>
      <c r="K21" s="201"/>
      <c r="L21" s="275"/>
      <c r="N21" s="272" t="s">
        <v>186</v>
      </c>
      <c r="O21" t="s">
        <v>193</v>
      </c>
      <c r="P21" s="277">
        <f t="shared" si="1"/>
        <v>0</v>
      </c>
      <c r="T21" s="1"/>
    </row>
    <row r="22" spans="1:20" x14ac:dyDescent="0.25">
      <c r="A22" t="s">
        <v>334</v>
      </c>
      <c r="B22" s="271"/>
      <c r="C22" t="s">
        <v>138</v>
      </c>
      <c r="D22" s="271"/>
      <c r="E22" s="271"/>
      <c r="F22" t="s">
        <v>139</v>
      </c>
      <c r="G22" t="s">
        <v>148</v>
      </c>
      <c r="H22" s="201" t="str">
        <f t="shared" si="2"/>
        <v>Home Health Aide</v>
      </c>
      <c r="I22" s="201"/>
      <c r="J22" s="201"/>
      <c r="K22" s="201"/>
      <c r="L22" s="275"/>
      <c r="N22" s="272" t="s">
        <v>188</v>
      </c>
      <c r="O22" t="s">
        <v>194</v>
      </c>
      <c r="P22" s="277">
        <f t="shared" si="1"/>
        <v>1</v>
      </c>
      <c r="T22" s="1"/>
    </row>
    <row r="23" spans="1:20" x14ac:dyDescent="0.25">
      <c r="A23" t="s">
        <v>335</v>
      </c>
      <c r="B23" s="271"/>
      <c r="C23" t="s">
        <v>138</v>
      </c>
      <c r="D23" s="271"/>
      <c r="E23" s="271"/>
      <c r="F23" t="s">
        <v>139</v>
      </c>
      <c r="G23" t="s">
        <v>148</v>
      </c>
      <c r="H23" s="201" t="str">
        <f t="shared" si="2"/>
        <v>Home Health Aide</v>
      </c>
      <c r="I23" s="201"/>
      <c r="J23" s="201"/>
      <c r="K23" s="201"/>
      <c r="L23" s="275"/>
      <c r="N23" s="272" t="s">
        <v>189</v>
      </c>
      <c r="O23" t="s">
        <v>195</v>
      </c>
      <c r="P23" s="277">
        <f t="shared" si="1"/>
        <v>0</v>
      </c>
      <c r="T23" s="1"/>
    </row>
    <row r="24" spans="1:20" ht="15.75" thickBot="1" x14ac:dyDescent="0.3">
      <c r="A24" t="s">
        <v>336</v>
      </c>
      <c r="B24" s="271"/>
      <c r="C24" t="s">
        <v>138</v>
      </c>
      <c r="D24" s="271"/>
      <c r="E24" s="271"/>
      <c r="F24" t="s">
        <v>139</v>
      </c>
      <c r="G24" t="s">
        <v>150</v>
      </c>
      <c r="H24" s="201" t="str">
        <f t="shared" si="2"/>
        <v>Medical Assistant</v>
      </c>
      <c r="I24" s="201"/>
      <c r="J24" s="201"/>
      <c r="K24" s="201"/>
      <c r="L24" s="275"/>
      <c r="N24" s="273" t="s">
        <v>190</v>
      </c>
      <c r="O24" s="181" t="s">
        <v>196</v>
      </c>
      <c r="P24" s="278">
        <f t="shared" si="1"/>
        <v>0</v>
      </c>
      <c r="T24" s="1"/>
    </row>
    <row r="25" spans="1:20" ht="16.5" thickBot="1" x14ac:dyDescent="0.3">
      <c r="A25" t="s">
        <v>337</v>
      </c>
      <c r="B25" s="271"/>
      <c r="C25" t="s">
        <v>138</v>
      </c>
      <c r="D25" s="271"/>
      <c r="G25" t="s">
        <v>152</v>
      </c>
      <c r="H25" s="201" t="str">
        <f t="shared" si="2"/>
        <v>Registered Nurse</v>
      </c>
      <c r="I25" s="201"/>
      <c r="J25" s="201"/>
      <c r="K25" s="201"/>
      <c r="L25" s="275"/>
      <c r="N25" s="283" t="s">
        <v>202</v>
      </c>
      <c r="O25" s="281" t="s">
        <v>201</v>
      </c>
      <c r="P25" s="282">
        <f>SUM(P5:P24)</f>
        <v>28</v>
      </c>
      <c r="R25" s="276"/>
      <c r="S25" s="170"/>
      <c r="T25" s="274"/>
    </row>
    <row r="26" spans="1:20" ht="15.75" thickBot="1" x14ac:dyDescent="0.3">
      <c r="A26" t="s">
        <v>338</v>
      </c>
      <c r="B26" s="271"/>
      <c r="C26" t="s">
        <v>138</v>
      </c>
      <c r="D26" s="271"/>
      <c r="E26" s="271"/>
      <c r="F26" t="s">
        <v>139</v>
      </c>
      <c r="G26" t="s">
        <v>140</v>
      </c>
      <c r="H26" s="201" t="str">
        <f t="shared" si="2"/>
        <v>Nursing Assistant</v>
      </c>
      <c r="I26" s="201"/>
      <c r="J26" s="201"/>
      <c r="K26" s="201"/>
      <c r="L26" s="275"/>
      <c r="N26" s="284" t="s">
        <v>203</v>
      </c>
      <c r="O26" s="281" t="s">
        <v>197</v>
      </c>
      <c r="P26" s="282">
        <f>COUNTA(A3:A30)</f>
        <v>28</v>
      </c>
    </row>
    <row r="27" spans="1:20" x14ac:dyDescent="0.25">
      <c r="A27" t="s">
        <v>339</v>
      </c>
      <c r="B27" s="271"/>
      <c r="C27" t="s">
        <v>138</v>
      </c>
      <c r="D27" s="271"/>
      <c r="G27" t="s">
        <v>140</v>
      </c>
      <c r="H27" s="201" t="str">
        <f t="shared" si="2"/>
        <v>Nursing Assistant</v>
      </c>
      <c r="I27" s="201"/>
      <c r="J27" s="201"/>
      <c r="K27" s="201"/>
      <c r="L27" s="275"/>
    </row>
    <row r="28" spans="1:20" x14ac:dyDescent="0.25">
      <c r="A28" t="s">
        <v>340</v>
      </c>
      <c r="B28" s="271"/>
      <c r="C28" t="s">
        <v>138</v>
      </c>
      <c r="D28" s="271"/>
      <c r="G28" t="s">
        <v>152</v>
      </c>
      <c r="H28" s="201" t="str">
        <f t="shared" si="2"/>
        <v>Registered Nurse</v>
      </c>
      <c r="I28" s="201"/>
      <c r="J28" s="201"/>
      <c r="K28" s="201"/>
      <c r="L28" s="275"/>
      <c r="N28" s="444" t="s">
        <v>199</v>
      </c>
      <c r="O28" s="444" t="s">
        <v>153</v>
      </c>
      <c r="P28" s="444" t="s">
        <v>145</v>
      </c>
      <c r="Q28" s="444" t="s">
        <v>151</v>
      </c>
      <c r="R28" s="444" t="s">
        <v>167</v>
      </c>
    </row>
    <row r="29" spans="1:20" x14ac:dyDescent="0.25">
      <c r="A29" t="s">
        <v>341</v>
      </c>
      <c r="B29" s="271"/>
      <c r="C29" t="s">
        <v>138</v>
      </c>
      <c r="D29" s="271"/>
      <c r="G29" t="s">
        <v>152</v>
      </c>
      <c r="H29" s="201" t="str">
        <f t="shared" si="2"/>
        <v>Registered Nurse</v>
      </c>
      <c r="I29" s="201"/>
      <c r="J29" s="201"/>
      <c r="K29" s="201"/>
      <c r="L29" s="275"/>
      <c r="N29">
        <f>SUM(P5,P7)</f>
        <v>11</v>
      </c>
      <c r="O29">
        <f>P10</f>
        <v>8</v>
      </c>
      <c r="P29">
        <f>P6</f>
        <v>2</v>
      </c>
      <c r="Q29">
        <f>P9</f>
        <v>4</v>
      </c>
      <c r="R29">
        <f>SUM(P8,P11,P12,P13,P14,P15,P16,P17,P18,P21,P22,P23,P24)</f>
        <v>3</v>
      </c>
    </row>
    <row r="30" spans="1:20" x14ac:dyDescent="0.25">
      <c r="A30" t="s">
        <v>342</v>
      </c>
      <c r="B30" s="271"/>
      <c r="C30" t="s">
        <v>138</v>
      </c>
      <c r="D30" s="271"/>
      <c r="E30" s="271"/>
      <c r="F30" t="s">
        <v>160</v>
      </c>
      <c r="G30" t="s">
        <v>140</v>
      </c>
      <c r="H30" s="201" t="str">
        <f t="shared" si="2"/>
        <v>Nursing Assistant</v>
      </c>
      <c r="I30" s="201"/>
      <c r="J30" s="201"/>
      <c r="K30" s="201"/>
      <c r="L30" s="275"/>
    </row>
  </sheetData>
  <mergeCells count="3">
    <mergeCell ref="H2:L2"/>
    <mergeCell ref="N4:O4"/>
    <mergeCell ref="A1:W1"/>
  </mergeCells>
  <hyperlinks>
    <hyperlink ref="P3" r:id="rId1" display="https://www.onetonline.org/find/result?s=31-1014.00" xr:uid="{6704F46A-B874-4736-BF87-D0FBC4449C1C}"/>
    <hyperlink ref="O19" r:id="rId2" display="https://www.onetonline.org/link/summary/29-2034.00" xr:uid="{71CDE080-C5F1-4731-B1AB-7E07C8942997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2EC4-9132-47B1-9A96-3165CE7B1578}">
  <dimension ref="A1:N14"/>
  <sheetViews>
    <sheetView workbookViewId="0">
      <selection activeCell="W11" sqref="W11"/>
    </sheetView>
  </sheetViews>
  <sheetFormatPr defaultRowHeight="15" x14ac:dyDescent="0.25"/>
  <cols>
    <col min="14" max="14" width="9.7109375" customWidth="1"/>
  </cols>
  <sheetData>
    <row r="1" spans="1:14" ht="26.25" x14ac:dyDescent="0.4">
      <c r="A1" s="665" t="s">
        <v>299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5"/>
    </row>
    <row r="2" spans="1:14" ht="15.75" thickBot="1" x14ac:dyDescent="0.3"/>
    <row r="3" spans="1:14" x14ac:dyDescent="0.25">
      <c r="A3" s="472" t="s">
        <v>290</v>
      </c>
      <c r="B3" s="473"/>
      <c r="D3" s="468" t="s">
        <v>291</v>
      </c>
      <c r="E3" s="470"/>
      <c r="G3" s="468" t="s">
        <v>294</v>
      </c>
      <c r="H3" s="469"/>
      <c r="I3" s="470"/>
      <c r="K3" s="468" t="s">
        <v>305</v>
      </c>
      <c r="L3" s="469"/>
      <c r="M3" s="469"/>
      <c r="N3" s="470"/>
    </row>
    <row r="4" spans="1:14" x14ac:dyDescent="0.25">
      <c r="A4" s="177" t="s">
        <v>295</v>
      </c>
      <c r="B4" s="180">
        <v>5</v>
      </c>
      <c r="D4" s="177" t="s">
        <v>264</v>
      </c>
      <c r="E4" s="180">
        <f>B4</f>
        <v>5</v>
      </c>
      <c r="G4" s="177" t="s">
        <v>264</v>
      </c>
      <c r="H4" t="s">
        <v>142</v>
      </c>
      <c r="I4" s="180"/>
      <c r="K4" s="177" t="s">
        <v>264</v>
      </c>
      <c r="L4">
        <v>2023</v>
      </c>
      <c r="M4">
        <v>5</v>
      </c>
      <c r="N4" s="180" t="s">
        <v>306</v>
      </c>
    </row>
    <row r="5" spans="1:14" x14ac:dyDescent="0.25">
      <c r="A5" s="177" t="s">
        <v>296</v>
      </c>
      <c r="B5" s="180">
        <v>5</v>
      </c>
      <c r="D5" s="177" t="s">
        <v>264</v>
      </c>
      <c r="E5" s="180">
        <f t="shared" ref="E5:E7" si="0">B5</f>
        <v>5</v>
      </c>
      <c r="G5" s="177" t="s">
        <v>264</v>
      </c>
      <c r="H5" t="s">
        <v>145</v>
      </c>
      <c r="I5" s="180"/>
      <c r="K5" s="177" t="s">
        <v>264</v>
      </c>
      <c r="L5">
        <v>2023</v>
      </c>
      <c r="M5">
        <v>4</v>
      </c>
      <c r="N5" s="180" t="s">
        <v>306</v>
      </c>
    </row>
    <row r="6" spans="1:14" x14ac:dyDescent="0.25">
      <c r="A6" s="177" t="s">
        <v>297</v>
      </c>
      <c r="B6" s="180">
        <v>5</v>
      </c>
      <c r="D6" s="177" t="s">
        <v>263</v>
      </c>
      <c r="E6" s="180">
        <f t="shared" si="0"/>
        <v>5</v>
      </c>
      <c r="G6" s="177" t="s">
        <v>263</v>
      </c>
      <c r="H6" t="s">
        <v>153</v>
      </c>
      <c r="I6" s="180"/>
      <c r="K6" s="177" t="s">
        <v>264</v>
      </c>
      <c r="L6">
        <v>2022</v>
      </c>
      <c r="M6">
        <v>3</v>
      </c>
      <c r="N6" s="180" t="s">
        <v>306</v>
      </c>
    </row>
    <row r="7" spans="1:14" x14ac:dyDescent="0.25">
      <c r="A7" s="177" t="s">
        <v>298</v>
      </c>
      <c r="B7" s="180">
        <v>0</v>
      </c>
      <c r="D7" s="177" t="s">
        <v>263</v>
      </c>
      <c r="E7" s="180">
        <f t="shared" si="0"/>
        <v>0</v>
      </c>
      <c r="G7" s="177" t="s">
        <v>264</v>
      </c>
      <c r="H7" t="s">
        <v>142</v>
      </c>
      <c r="I7" s="180"/>
      <c r="K7" s="177" t="s">
        <v>264</v>
      </c>
      <c r="L7">
        <v>2021</v>
      </c>
      <c r="M7">
        <v>2</v>
      </c>
      <c r="N7" s="180" t="s">
        <v>164</v>
      </c>
    </row>
    <row r="8" spans="1:14" ht="15.75" thickBot="1" x14ac:dyDescent="0.3">
      <c r="A8" s="477" t="s">
        <v>96</v>
      </c>
      <c r="B8" s="481">
        <f>SUM(B4:B7)</f>
        <v>15</v>
      </c>
      <c r="D8" s="474" t="s">
        <v>292</v>
      </c>
      <c r="E8" s="480">
        <f ca="1">SUMIF(D4:E7,"Partner 1",E4:E7)</f>
        <v>10</v>
      </c>
      <c r="G8" s="474" t="s">
        <v>292</v>
      </c>
      <c r="H8" s="475">
        <f>COUNTIF(G4:H7,"Partner 1")</f>
        <v>3</v>
      </c>
      <c r="I8" s="476"/>
      <c r="K8" s="474" t="s">
        <v>307</v>
      </c>
      <c r="L8" s="483">
        <v>2021</v>
      </c>
      <c r="M8" s="475">
        <f>SUMIFS(M4:M7,L4:L7,L8,N4:N7,"Nurse")</f>
        <v>0</v>
      </c>
      <c r="N8" s="480"/>
    </row>
    <row r="9" spans="1:14" ht="15.75" thickBot="1" x14ac:dyDescent="0.3">
      <c r="D9" s="477" t="s">
        <v>293</v>
      </c>
      <c r="E9" s="481">
        <f ca="1">SUMIF(D4:E7,"Partner 2",E4:E7)</f>
        <v>5</v>
      </c>
      <c r="G9" s="477" t="s">
        <v>293</v>
      </c>
      <c r="H9" s="478">
        <f>COUNTIF(G4:H7,"Partner 2")</f>
        <v>1</v>
      </c>
      <c r="I9" s="479"/>
      <c r="K9" s="474" t="s">
        <v>308</v>
      </c>
      <c r="L9" s="483">
        <v>2022</v>
      </c>
      <c r="M9" s="475">
        <f>SUMIFS(M4:M7,L4:L7,L9,N4:N7,"Nurse")</f>
        <v>3</v>
      </c>
      <c r="N9" s="480"/>
    </row>
    <row r="10" spans="1:14" ht="15.75" thickBot="1" x14ac:dyDescent="0.3">
      <c r="K10" s="477" t="s">
        <v>309</v>
      </c>
      <c r="L10" s="484">
        <v>2023</v>
      </c>
      <c r="M10" s="478">
        <f>SUMIFS(M4:M7,L4:L7,L10,N4:N7,"Nurse")</f>
        <v>9</v>
      </c>
      <c r="N10" s="481"/>
    </row>
    <row r="11" spans="1:14" x14ac:dyDescent="0.25">
      <c r="A11" s="468" t="s">
        <v>303</v>
      </c>
      <c r="B11" s="469"/>
      <c r="C11" s="469"/>
      <c r="D11" s="469"/>
      <c r="E11" s="470"/>
    </row>
    <row r="12" spans="1:14" ht="15.75" thickBot="1" x14ac:dyDescent="0.3">
      <c r="A12" s="482" t="s">
        <v>304</v>
      </c>
      <c r="B12" s="181">
        <v>50</v>
      </c>
      <c r="C12" s="181"/>
      <c r="D12" s="181"/>
      <c r="E12" s="471">
        <f>B12</f>
        <v>50</v>
      </c>
      <c r="H12" t="s">
        <v>302</v>
      </c>
    </row>
    <row r="13" spans="1:14" x14ac:dyDescent="0.25">
      <c r="H13" s="178" t="s">
        <v>300</v>
      </c>
    </row>
    <row r="14" spans="1:14" x14ac:dyDescent="0.25">
      <c r="H14" s="178" t="s">
        <v>301</v>
      </c>
    </row>
  </sheetData>
  <mergeCells count="1">
    <mergeCell ref="A1:N1"/>
  </mergeCells>
  <phoneticPr fontId="69" type="noConversion"/>
  <hyperlinks>
    <hyperlink ref="H14" r:id="rId1" xr:uid="{EFC20672-BF11-4A9D-98CA-700EC180D3A7}"/>
    <hyperlink ref="H13" r:id="rId2" xr:uid="{7C50B9C7-8D08-4CE7-BA6E-613CD7091EF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ED00-6C6C-4E88-8051-07659DABD7F8}">
  <sheetPr>
    <tabColor rgb="FF00B050"/>
  </sheetPr>
  <dimension ref="A1:BI33"/>
  <sheetViews>
    <sheetView zoomScaleNormal="100" workbookViewId="0">
      <pane xSplit="1" topLeftCell="B1" activePane="topRight" state="frozen"/>
      <selection activeCell="E21" sqref="E21"/>
      <selection pane="topRight" activeCell="R27" sqref="R27"/>
    </sheetView>
  </sheetViews>
  <sheetFormatPr defaultRowHeight="15" x14ac:dyDescent="0.25"/>
  <cols>
    <col min="1" max="1" width="74.140625" customWidth="1"/>
    <col min="2" max="61" width="9.7109375" customWidth="1"/>
  </cols>
  <sheetData>
    <row r="1" spans="1:61" ht="46.5" x14ac:dyDescent="0.25">
      <c r="A1" s="19" t="s">
        <v>24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18"/>
      <c r="Q1" s="2"/>
    </row>
    <row r="2" spans="1:61" ht="46.5" x14ac:dyDescent="0.25">
      <c r="A2" s="20" t="s">
        <v>23</v>
      </c>
      <c r="B2" s="527" t="s">
        <v>264</v>
      </c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8" t="s">
        <v>263</v>
      </c>
      <c r="R2" s="528"/>
      <c r="S2" s="528"/>
      <c r="T2" s="528"/>
      <c r="U2" s="528"/>
      <c r="V2" s="528"/>
      <c r="W2" s="528"/>
      <c r="X2" s="528"/>
      <c r="Y2" s="528"/>
      <c r="Z2" s="528"/>
      <c r="AA2" s="528"/>
      <c r="AB2" s="528"/>
      <c r="AC2" s="528"/>
      <c r="AD2" s="528"/>
      <c r="AE2" s="528"/>
      <c r="AF2" s="529" t="s">
        <v>262</v>
      </c>
      <c r="AG2" s="529"/>
      <c r="AH2" s="529"/>
      <c r="AI2" s="529"/>
      <c r="AJ2" s="529"/>
      <c r="AK2" s="529"/>
      <c r="AL2" s="529"/>
      <c r="AM2" s="529"/>
      <c r="AN2" s="529"/>
      <c r="AO2" s="529"/>
      <c r="AP2" s="529"/>
      <c r="AQ2" s="529"/>
      <c r="AR2" s="529"/>
      <c r="AS2" s="529"/>
      <c r="AT2" s="529"/>
      <c r="AU2" s="530" t="s">
        <v>265</v>
      </c>
      <c r="AV2" s="530"/>
      <c r="AW2" s="530"/>
      <c r="AX2" s="530"/>
      <c r="AY2" s="530"/>
      <c r="AZ2" s="530"/>
      <c r="BA2" s="530"/>
      <c r="BB2" s="530"/>
      <c r="BC2" s="530"/>
      <c r="BD2" s="530"/>
      <c r="BE2" s="530"/>
      <c r="BF2" s="530"/>
      <c r="BG2" s="530"/>
      <c r="BH2" s="530"/>
      <c r="BI2" s="530"/>
    </row>
    <row r="3" spans="1:61" x14ac:dyDescent="0.25">
      <c r="A3" s="21"/>
      <c r="B3" s="520" t="s">
        <v>3</v>
      </c>
      <c r="C3" s="520"/>
      <c r="D3" s="521"/>
      <c r="E3" s="522" t="s">
        <v>4</v>
      </c>
      <c r="F3" s="520"/>
      <c r="G3" s="521"/>
      <c r="H3" s="522" t="s">
        <v>5</v>
      </c>
      <c r="I3" s="520"/>
      <c r="J3" s="521"/>
      <c r="K3" s="522" t="s">
        <v>6</v>
      </c>
      <c r="L3" s="520"/>
      <c r="M3" s="521"/>
      <c r="N3" s="523" t="s">
        <v>2</v>
      </c>
      <c r="O3" s="524"/>
      <c r="P3" s="525"/>
      <c r="Q3" s="522" t="s">
        <v>3</v>
      </c>
      <c r="R3" s="520"/>
      <c r="S3" s="521"/>
      <c r="T3" s="522" t="s">
        <v>4</v>
      </c>
      <c r="U3" s="520"/>
      <c r="V3" s="521"/>
      <c r="W3" s="522" t="s">
        <v>5</v>
      </c>
      <c r="X3" s="520"/>
      <c r="Y3" s="521"/>
      <c r="Z3" s="522" t="s">
        <v>6</v>
      </c>
      <c r="AA3" s="520"/>
      <c r="AB3" s="521"/>
      <c r="AC3" s="523" t="s">
        <v>2</v>
      </c>
      <c r="AD3" s="524"/>
      <c r="AE3" s="525"/>
      <c r="AF3" s="522" t="s">
        <v>3</v>
      </c>
      <c r="AG3" s="520"/>
      <c r="AH3" s="521"/>
      <c r="AI3" s="522" t="s">
        <v>4</v>
      </c>
      <c r="AJ3" s="520"/>
      <c r="AK3" s="521"/>
      <c r="AL3" s="522" t="s">
        <v>5</v>
      </c>
      <c r="AM3" s="520"/>
      <c r="AN3" s="521"/>
      <c r="AO3" s="522" t="s">
        <v>6</v>
      </c>
      <c r="AP3" s="520"/>
      <c r="AQ3" s="521"/>
      <c r="AR3" s="523" t="s">
        <v>2</v>
      </c>
      <c r="AS3" s="524"/>
      <c r="AT3" s="525"/>
      <c r="AU3" s="522" t="s">
        <v>3</v>
      </c>
      <c r="AV3" s="520"/>
      <c r="AW3" s="521"/>
      <c r="AX3" s="522" t="s">
        <v>4</v>
      </c>
      <c r="AY3" s="520"/>
      <c r="AZ3" s="521"/>
      <c r="BA3" s="522" t="s">
        <v>5</v>
      </c>
      <c r="BB3" s="520"/>
      <c r="BC3" s="521"/>
      <c r="BD3" s="522" t="s">
        <v>6</v>
      </c>
      <c r="BE3" s="520"/>
      <c r="BF3" s="521"/>
      <c r="BG3" s="523" t="s">
        <v>2</v>
      </c>
      <c r="BH3" s="524"/>
      <c r="BI3" s="525"/>
    </row>
    <row r="4" spans="1:61" ht="28.5" x14ac:dyDescent="0.25">
      <c r="A4" s="22" t="s">
        <v>7</v>
      </c>
      <c r="B4" s="1" t="s">
        <v>0</v>
      </c>
      <c r="C4" s="1" t="s">
        <v>1</v>
      </c>
      <c r="D4" s="5" t="s">
        <v>25</v>
      </c>
      <c r="E4" s="4" t="s">
        <v>0</v>
      </c>
      <c r="F4" s="1" t="s">
        <v>1</v>
      </c>
      <c r="G4" s="5" t="s">
        <v>25</v>
      </c>
      <c r="H4" s="4" t="s">
        <v>0</v>
      </c>
      <c r="I4" s="1" t="s">
        <v>1</v>
      </c>
      <c r="J4" s="5" t="s">
        <v>25</v>
      </c>
      <c r="K4" s="4" t="s">
        <v>0</v>
      </c>
      <c r="L4" s="1" t="s">
        <v>1</v>
      </c>
      <c r="M4" s="5" t="s">
        <v>25</v>
      </c>
      <c r="N4" s="4" t="s">
        <v>0</v>
      </c>
      <c r="O4" t="s">
        <v>1</v>
      </c>
      <c r="P4" s="5" t="s">
        <v>25</v>
      </c>
      <c r="Q4" s="4" t="s">
        <v>0</v>
      </c>
      <c r="R4" s="1" t="s">
        <v>1</v>
      </c>
      <c r="S4" s="5" t="s">
        <v>25</v>
      </c>
      <c r="T4" s="4" t="s">
        <v>0</v>
      </c>
      <c r="U4" s="1" t="s">
        <v>1</v>
      </c>
      <c r="V4" s="5" t="s">
        <v>25</v>
      </c>
      <c r="W4" s="4" t="s">
        <v>0</v>
      </c>
      <c r="X4" s="1" t="s">
        <v>1</v>
      </c>
      <c r="Y4" s="5" t="s">
        <v>25</v>
      </c>
      <c r="Z4" s="4" t="s">
        <v>0</v>
      </c>
      <c r="AA4" s="1" t="s">
        <v>1</v>
      </c>
      <c r="AB4" s="5" t="s">
        <v>25</v>
      </c>
      <c r="AC4" s="4" t="s">
        <v>0</v>
      </c>
      <c r="AD4" t="s">
        <v>1</v>
      </c>
      <c r="AE4" s="5" t="s">
        <v>25</v>
      </c>
      <c r="AF4" s="4" t="s">
        <v>0</v>
      </c>
      <c r="AG4" s="1" t="s">
        <v>1</v>
      </c>
      <c r="AH4" s="5" t="s">
        <v>25</v>
      </c>
      <c r="AI4" s="4" t="s">
        <v>0</v>
      </c>
      <c r="AJ4" s="1" t="s">
        <v>1</v>
      </c>
      <c r="AK4" s="5" t="s">
        <v>25</v>
      </c>
      <c r="AL4" s="4" t="s">
        <v>0</v>
      </c>
      <c r="AM4" s="1" t="s">
        <v>1</v>
      </c>
      <c r="AN4" s="5" t="s">
        <v>25</v>
      </c>
      <c r="AO4" s="4" t="s">
        <v>0</v>
      </c>
      <c r="AP4" s="1" t="s">
        <v>1</v>
      </c>
      <c r="AQ4" s="5" t="s">
        <v>25</v>
      </c>
      <c r="AR4" s="4" t="s">
        <v>0</v>
      </c>
      <c r="AS4" t="s">
        <v>1</v>
      </c>
      <c r="AT4" s="5" t="s">
        <v>25</v>
      </c>
      <c r="AU4" s="4" t="s">
        <v>0</v>
      </c>
      <c r="AV4" s="1" t="s">
        <v>1</v>
      </c>
      <c r="AW4" s="5" t="s">
        <v>25</v>
      </c>
      <c r="AX4" s="4" t="s">
        <v>0</v>
      </c>
      <c r="AY4" s="1" t="s">
        <v>1</v>
      </c>
      <c r="AZ4" s="5" t="s">
        <v>25</v>
      </c>
      <c r="BA4" s="4" t="s">
        <v>0</v>
      </c>
      <c r="BB4" s="1" t="s">
        <v>1</v>
      </c>
      <c r="BC4" s="5" t="s">
        <v>25</v>
      </c>
      <c r="BD4" s="4" t="s">
        <v>0</v>
      </c>
      <c r="BE4" s="1" t="s">
        <v>1</v>
      </c>
      <c r="BF4" s="5" t="s">
        <v>25</v>
      </c>
      <c r="BG4" s="4" t="s">
        <v>0</v>
      </c>
      <c r="BH4" t="s">
        <v>1</v>
      </c>
      <c r="BI4" s="5" t="s">
        <v>25</v>
      </c>
    </row>
    <row r="5" spans="1:61" ht="24" customHeight="1" x14ac:dyDescent="0.25">
      <c r="A5" s="23" t="s">
        <v>276</v>
      </c>
      <c r="B5" s="28">
        <v>5</v>
      </c>
      <c r="C5" s="29">
        <f>SUM('Partner 1 Data'!D45:F45)</f>
        <v>9</v>
      </c>
      <c r="D5" s="30">
        <f t="shared" ref="D5:D10" si="0">C5/B5</f>
        <v>1.8</v>
      </c>
      <c r="E5" s="31">
        <v>30</v>
      </c>
      <c r="F5" s="28">
        <f>SUM('Partner 1 Data'!G45:J45)</f>
        <v>136</v>
      </c>
      <c r="G5" s="51">
        <f t="shared" ref="G5:G10" si="1">F5/E5</f>
        <v>4.5333333333333332</v>
      </c>
      <c r="H5" s="31">
        <v>50</v>
      </c>
      <c r="I5" s="28">
        <f>SUM('Partner 1 Data'!K45:N45)</f>
        <v>14</v>
      </c>
      <c r="J5" s="51">
        <f t="shared" ref="J5:J10" si="2">I5/H5</f>
        <v>0.28000000000000003</v>
      </c>
      <c r="K5" s="31">
        <v>15</v>
      </c>
      <c r="L5" s="28">
        <f>SUM('Partner 1 Data'!O45:R45)</f>
        <v>0</v>
      </c>
      <c r="M5" s="51">
        <f t="shared" ref="M5:M10" si="3">L5/K5</f>
        <v>0</v>
      </c>
      <c r="N5" s="31">
        <f>SUM(B5,E5,H5,K5)</f>
        <v>100</v>
      </c>
      <c r="O5" s="28">
        <f t="shared" ref="O5:O10" si="4">SUM(C5,F5,I5,L5)</f>
        <v>159</v>
      </c>
      <c r="P5" s="45">
        <f t="shared" ref="P5:P10" si="5">O5/N5</f>
        <v>1.59</v>
      </c>
      <c r="Q5" s="6">
        <v>10</v>
      </c>
      <c r="R5" s="14">
        <f>SUM('Partner 3 Data'!D45:F45)</f>
        <v>2</v>
      </c>
      <c r="S5" s="51">
        <f t="shared" ref="S5:S10" si="6">R5/Q5</f>
        <v>0.2</v>
      </c>
      <c r="T5" s="6">
        <v>55</v>
      </c>
      <c r="U5" s="9">
        <f>SUM('Partner 3 Data'!G45:J45)</f>
        <v>2</v>
      </c>
      <c r="V5" s="53">
        <f t="shared" ref="V5:V10" si="7">U5/T5</f>
        <v>3.6363636363636362E-2</v>
      </c>
      <c r="W5" s="6">
        <v>55</v>
      </c>
      <c r="X5" s="9">
        <f>SUM('Partner 3 Data'!K45:N45)</f>
        <v>90</v>
      </c>
      <c r="Y5" s="53">
        <f t="shared" ref="Y5:Y10" si="8">X5/W5</f>
        <v>1.6363636363636365</v>
      </c>
      <c r="Z5" s="6">
        <v>25</v>
      </c>
      <c r="AA5" s="9">
        <f>SUM('Partner 3 Data'!O45:R45)</f>
        <v>0</v>
      </c>
      <c r="AB5" s="10">
        <f t="shared" ref="AB5:AB10" si="9">AA5/Z5</f>
        <v>0</v>
      </c>
      <c r="AC5" s="6">
        <f>SUM(Q5,T5,W5,Z5)</f>
        <v>145</v>
      </c>
      <c r="AD5" s="9">
        <f t="shared" ref="AD5:AD10" si="10">SUM(R5,U5,X5,AA5)</f>
        <v>94</v>
      </c>
      <c r="AE5" s="45">
        <f t="shared" ref="AE5:AE10" si="11">AD5/AC5</f>
        <v>0.64827586206896548</v>
      </c>
      <c r="AF5" s="6">
        <v>10</v>
      </c>
      <c r="AG5" s="14">
        <f>SUM('Partner 4 Data'!D45:F45)</f>
        <v>34</v>
      </c>
      <c r="AH5" s="15">
        <f>AG5/AF5</f>
        <v>3.4</v>
      </c>
      <c r="AI5" s="6">
        <v>25</v>
      </c>
      <c r="AJ5" s="9">
        <f>SUM('Partner 4 Data'!G45:J45)</f>
        <v>77</v>
      </c>
      <c r="AK5" s="53">
        <f t="shared" ref="AK5:AK10" si="12">AJ5/AI5</f>
        <v>3.08</v>
      </c>
      <c r="AL5" s="6">
        <v>35</v>
      </c>
      <c r="AM5" s="9">
        <f>SUM('Partner 4 Data'!K45:N45)</f>
        <v>46</v>
      </c>
      <c r="AN5" s="53">
        <f t="shared" ref="AN5:AN10" si="13">AM5/AL5</f>
        <v>1.3142857142857143</v>
      </c>
      <c r="AO5" s="6">
        <v>15</v>
      </c>
      <c r="AP5" s="9">
        <f>SUM('Partner 4 Data'!O45:R45)</f>
        <v>0</v>
      </c>
      <c r="AQ5" s="53">
        <f t="shared" ref="AQ5:AQ10" si="14">AP5/AO5</f>
        <v>0</v>
      </c>
      <c r="AR5" s="6">
        <f>SUM(AF5,AI5,AL5,AO5)</f>
        <v>85</v>
      </c>
      <c r="AS5" s="9">
        <f>SUM(AG5,AJ5,AM5,AP5)</f>
        <v>157</v>
      </c>
      <c r="AT5" s="45">
        <f t="shared" ref="AT5:AT10" si="15">AS5/AR5</f>
        <v>1.8470588235294119</v>
      </c>
      <c r="AU5" s="6">
        <v>10</v>
      </c>
      <c r="AV5" s="14">
        <f>SUM('Partner 2 Data'!D45:F45)</f>
        <v>0</v>
      </c>
      <c r="AW5" s="15">
        <f t="shared" ref="AW5:AW10" si="16">AV5/AU5</f>
        <v>0</v>
      </c>
      <c r="AX5" s="6">
        <v>15</v>
      </c>
      <c r="AY5" s="9">
        <f>SUM('Partner 2 Data'!G45:J45)</f>
        <v>42</v>
      </c>
      <c r="AZ5" s="10">
        <f t="shared" ref="AZ5:AZ10" si="17">AY5/AX5</f>
        <v>2.8</v>
      </c>
      <c r="BA5" s="6">
        <v>15</v>
      </c>
      <c r="BB5" s="9">
        <f>SUM('Partner 2 Data'!K45:N45)</f>
        <v>23</v>
      </c>
      <c r="BC5" s="10">
        <f t="shared" ref="BC5:BC10" si="18">BB5/BA5</f>
        <v>1.5333333333333334</v>
      </c>
      <c r="BD5" s="6">
        <v>10</v>
      </c>
      <c r="BE5" s="9">
        <f>SUM('Partner 2 Data'!O45:R45)</f>
        <v>0</v>
      </c>
      <c r="BF5" s="10">
        <f t="shared" ref="BF5:BF10" si="19">BE5/BD5</f>
        <v>0</v>
      </c>
      <c r="BG5" s="6">
        <f>SUM(AU5,AX5,BA5,BD5)</f>
        <v>50</v>
      </c>
      <c r="BH5" s="9">
        <f>SUM(AV5,AY5,BB5,BE5)</f>
        <v>65</v>
      </c>
      <c r="BI5" s="45">
        <f t="shared" ref="BI5:BI10" si="20">BH5/BG5</f>
        <v>1.3</v>
      </c>
    </row>
    <row r="6" spans="1:61" ht="24" customHeight="1" x14ac:dyDescent="0.25">
      <c r="A6" s="23" t="s">
        <v>277</v>
      </c>
      <c r="B6" s="28">
        <v>12</v>
      </c>
      <c r="C6" s="29">
        <f>SUM('Partner 1 Data'!D46:F46)</f>
        <v>32</v>
      </c>
      <c r="D6" s="30">
        <f t="shared" si="0"/>
        <v>2.6666666666666665</v>
      </c>
      <c r="E6" s="31">
        <v>40</v>
      </c>
      <c r="F6" s="28">
        <f>SUM('Partner 1 Data'!G46:J46)</f>
        <v>76</v>
      </c>
      <c r="G6" s="51">
        <f t="shared" si="1"/>
        <v>1.9</v>
      </c>
      <c r="H6" s="31">
        <v>30</v>
      </c>
      <c r="I6" s="28">
        <f>SUM('Partner 1 Data'!K46:N46)</f>
        <v>36</v>
      </c>
      <c r="J6" s="51">
        <f t="shared" si="2"/>
        <v>1.2</v>
      </c>
      <c r="K6" s="31">
        <v>15</v>
      </c>
      <c r="L6" s="28">
        <f>SUM('Partner 1 Data'!O46:R46)</f>
        <v>0</v>
      </c>
      <c r="M6" s="51">
        <f t="shared" si="3"/>
        <v>0</v>
      </c>
      <c r="N6" s="31">
        <f t="shared" ref="N6:N10" si="21">SUM(B6,E6,H6,K6)</f>
        <v>97</v>
      </c>
      <c r="O6" s="28">
        <f t="shared" si="4"/>
        <v>144</v>
      </c>
      <c r="P6" s="45">
        <f t="shared" si="5"/>
        <v>1.4845360824742269</v>
      </c>
      <c r="Q6" s="6">
        <v>10</v>
      </c>
      <c r="R6" s="14">
        <f>SUM('Partner 3 Data'!D46:F46)</f>
        <v>2</v>
      </c>
      <c r="S6" s="51">
        <f t="shared" si="6"/>
        <v>0.2</v>
      </c>
      <c r="T6" s="6">
        <v>65</v>
      </c>
      <c r="U6" s="9">
        <f>SUM('Partner 3 Data'!G46:J46)</f>
        <v>2</v>
      </c>
      <c r="V6" s="53">
        <f t="shared" si="7"/>
        <v>3.0769230769230771E-2</v>
      </c>
      <c r="W6" s="6">
        <v>60</v>
      </c>
      <c r="X6" s="9">
        <f>SUM('Partner 3 Data'!K46:N46)</f>
        <v>49</v>
      </c>
      <c r="Y6" s="53">
        <f t="shared" si="8"/>
        <v>0.81666666666666665</v>
      </c>
      <c r="Z6" s="6">
        <v>20</v>
      </c>
      <c r="AA6" s="9">
        <f>SUM('Partner 3 Data'!O46:R46)</f>
        <v>0</v>
      </c>
      <c r="AB6" s="10">
        <f t="shared" si="9"/>
        <v>0</v>
      </c>
      <c r="AC6" s="6">
        <f t="shared" ref="AC6:AC10" si="22">SUM(Q6,T6,W6,Z6)</f>
        <v>155</v>
      </c>
      <c r="AD6" s="9">
        <f t="shared" si="10"/>
        <v>53</v>
      </c>
      <c r="AE6" s="45">
        <f t="shared" si="11"/>
        <v>0.34193548387096773</v>
      </c>
      <c r="AF6" s="7">
        <v>5</v>
      </c>
      <c r="AG6" s="14">
        <f>SUM('Partner 4 Data'!D46:F46)</f>
        <v>34</v>
      </c>
      <c r="AH6" s="15">
        <f>AG6/AF6</f>
        <v>6.8</v>
      </c>
      <c r="AI6" s="7">
        <v>25</v>
      </c>
      <c r="AJ6" s="9">
        <f>SUM('Partner 4 Data'!G46:J46)</f>
        <v>77</v>
      </c>
      <c r="AK6" s="53">
        <f t="shared" si="12"/>
        <v>3.08</v>
      </c>
      <c r="AL6" s="7">
        <v>35</v>
      </c>
      <c r="AM6" s="9">
        <f>SUM('Partner 4 Data'!K46:N46)</f>
        <v>46</v>
      </c>
      <c r="AN6" s="53">
        <f t="shared" si="13"/>
        <v>1.3142857142857143</v>
      </c>
      <c r="AO6" s="7">
        <v>15</v>
      </c>
      <c r="AP6" s="9">
        <f>SUM('Partner 4 Data'!O46:R46)</f>
        <v>0</v>
      </c>
      <c r="AQ6" s="53">
        <f t="shared" si="14"/>
        <v>0</v>
      </c>
      <c r="AR6" s="6">
        <f t="shared" ref="AR6:AR10" si="23">SUM(AF6,AI6,AL6,AO6)</f>
        <v>80</v>
      </c>
      <c r="AS6" s="9">
        <f t="shared" ref="AS6:AS10" si="24">SUM(AG6,AJ6,AM6,AP6)</f>
        <v>157</v>
      </c>
      <c r="AT6" s="45">
        <f t="shared" si="15"/>
        <v>1.9624999999999999</v>
      </c>
      <c r="AU6" s="7">
        <v>5</v>
      </c>
      <c r="AV6" s="14">
        <f>SUM('Partner 2 Data'!D46:F46)</f>
        <v>0</v>
      </c>
      <c r="AW6" s="15">
        <f t="shared" si="16"/>
        <v>0</v>
      </c>
      <c r="AX6" s="7">
        <v>15</v>
      </c>
      <c r="AY6" s="9">
        <f>SUM('Partner 2 Data'!G46:J46)</f>
        <v>36</v>
      </c>
      <c r="AZ6" s="10">
        <f t="shared" si="17"/>
        <v>2.4</v>
      </c>
      <c r="BA6" s="7">
        <v>10</v>
      </c>
      <c r="BB6" s="9">
        <f>SUM('Partner 2 Data'!K46:N46)</f>
        <v>19</v>
      </c>
      <c r="BC6" s="10">
        <f t="shared" si="18"/>
        <v>1.9</v>
      </c>
      <c r="BD6" s="7">
        <v>10</v>
      </c>
      <c r="BE6" s="9">
        <f>SUM('Partner 2 Data'!O46:R46)</f>
        <v>0</v>
      </c>
      <c r="BF6" s="10">
        <f t="shared" si="19"/>
        <v>0</v>
      </c>
      <c r="BG6" s="6">
        <f t="shared" ref="BG6:BG10" si="25">SUM(AU6,AX6,BA6,BD6)</f>
        <v>40</v>
      </c>
      <c r="BH6" s="9">
        <f t="shared" ref="BH6:BH10" si="26">SUM(AV6,AY6,BB6,BE6)</f>
        <v>55</v>
      </c>
      <c r="BI6" s="45">
        <f t="shared" si="20"/>
        <v>1.375</v>
      </c>
    </row>
    <row r="7" spans="1:61" ht="24" customHeight="1" x14ac:dyDescent="0.25">
      <c r="A7" s="23" t="s">
        <v>272</v>
      </c>
      <c r="B7" s="28">
        <v>5</v>
      </c>
      <c r="C7" s="29">
        <f>SUM('Partner 1 Data'!D47:F47)</f>
        <v>12</v>
      </c>
      <c r="D7" s="30">
        <f t="shared" si="0"/>
        <v>2.4</v>
      </c>
      <c r="E7" s="31">
        <v>20</v>
      </c>
      <c r="F7" s="28">
        <f>SUM('Partner 1 Data'!G47:J47)</f>
        <v>39</v>
      </c>
      <c r="G7" s="51">
        <f t="shared" si="1"/>
        <v>1.95</v>
      </c>
      <c r="H7" s="31">
        <v>30</v>
      </c>
      <c r="I7" s="28">
        <f>SUM('Partner 1 Data'!K47:N47)</f>
        <v>9</v>
      </c>
      <c r="J7" s="51">
        <f t="shared" si="2"/>
        <v>0.3</v>
      </c>
      <c r="K7" s="31">
        <v>30</v>
      </c>
      <c r="L7" s="28">
        <f>SUM('Partner 1 Data'!O47:R47)</f>
        <v>0</v>
      </c>
      <c r="M7" s="51">
        <f t="shared" si="3"/>
        <v>0</v>
      </c>
      <c r="N7" s="31">
        <f t="shared" si="21"/>
        <v>85</v>
      </c>
      <c r="O7" s="28">
        <f t="shared" si="4"/>
        <v>60</v>
      </c>
      <c r="P7" s="45">
        <f t="shared" si="5"/>
        <v>0.70588235294117652</v>
      </c>
      <c r="Q7" s="6">
        <v>8</v>
      </c>
      <c r="R7" s="14">
        <f>SUM('Partner 3 Data'!D47:F47)</f>
        <v>1</v>
      </c>
      <c r="S7" s="51">
        <f t="shared" si="6"/>
        <v>0.125</v>
      </c>
      <c r="T7" s="6">
        <v>56</v>
      </c>
      <c r="U7" s="9">
        <f>SUM('Partner 3 Data'!G47:J47)</f>
        <v>0</v>
      </c>
      <c r="V7" s="53">
        <f t="shared" si="7"/>
        <v>0</v>
      </c>
      <c r="W7" s="6">
        <v>50</v>
      </c>
      <c r="X7" s="9">
        <f>SUM('Partner 3 Data'!K47:N47)</f>
        <v>27</v>
      </c>
      <c r="Y7" s="53">
        <f t="shared" si="8"/>
        <v>0.54</v>
      </c>
      <c r="Z7" s="6">
        <v>10</v>
      </c>
      <c r="AA7" s="9">
        <f>SUM('Partner 3 Data'!O47:R47)</f>
        <v>0</v>
      </c>
      <c r="AB7" s="10">
        <f t="shared" si="9"/>
        <v>0</v>
      </c>
      <c r="AC7" s="6">
        <f t="shared" si="22"/>
        <v>124</v>
      </c>
      <c r="AD7" s="9">
        <f t="shared" si="10"/>
        <v>28</v>
      </c>
      <c r="AE7" s="45">
        <f t="shared" si="11"/>
        <v>0.22580645161290322</v>
      </c>
      <c r="AF7" s="6">
        <v>5</v>
      </c>
      <c r="AG7" s="14">
        <f>SUM('Partner 4 Data'!D47:F47)</f>
        <v>28</v>
      </c>
      <c r="AH7" s="15">
        <f>AG7/AF7</f>
        <v>5.6</v>
      </c>
      <c r="AI7" s="6">
        <v>20</v>
      </c>
      <c r="AJ7" s="9">
        <f>SUM('Partner 4 Data'!G47:J47)</f>
        <v>41</v>
      </c>
      <c r="AK7" s="53">
        <f t="shared" si="12"/>
        <v>2.0499999999999998</v>
      </c>
      <c r="AL7" s="6">
        <v>30</v>
      </c>
      <c r="AM7" s="9">
        <f>SUM('Partner 4 Data'!K47:N47)</f>
        <v>14</v>
      </c>
      <c r="AN7" s="53">
        <f t="shared" si="13"/>
        <v>0.46666666666666667</v>
      </c>
      <c r="AO7" s="6">
        <v>10</v>
      </c>
      <c r="AP7" s="9">
        <f>SUM('Partner 4 Data'!O47:R47)</f>
        <v>0</v>
      </c>
      <c r="AQ7" s="53">
        <f t="shared" si="14"/>
        <v>0</v>
      </c>
      <c r="AR7" s="6">
        <f t="shared" si="23"/>
        <v>65</v>
      </c>
      <c r="AS7" s="9">
        <f t="shared" si="24"/>
        <v>83</v>
      </c>
      <c r="AT7" s="45">
        <f t="shared" si="15"/>
        <v>1.2769230769230768</v>
      </c>
      <c r="AU7" s="6">
        <v>5</v>
      </c>
      <c r="AV7" s="14">
        <f>SUM('Partner 2 Data'!D47:F47)</f>
        <v>0</v>
      </c>
      <c r="AW7" s="15">
        <f t="shared" si="16"/>
        <v>0</v>
      </c>
      <c r="AX7" s="6">
        <v>10</v>
      </c>
      <c r="AY7" s="9">
        <f>SUM('Partner 2 Data'!G47:J47)</f>
        <v>1</v>
      </c>
      <c r="AZ7" s="10">
        <f t="shared" si="17"/>
        <v>0.1</v>
      </c>
      <c r="BA7" s="6">
        <v>10</v>
      </c>
      <c r="BB7" s="9">
        <f>SUM('Partner 2 Data'!K47:N47)</f>
        <v>3</v>
      </c>
      <c r="BC7" s="10">
        <f t="shared" si="18"/>
        <v>0.3</v>
      </c>
      <c r="BD7" s="6">
        <v>5</v>
      </c>
      <c r="BE7" s="9">
        <f>SUM('Partner 2 Data'!O47:R47)</f>
        <v>0</v>
      </c>
      <c r="BF7" s="10">
        <f t="shared" si="19"/>
        <v>0</v>
      </c>
      <c r="BG7" s="6">
        <f t="shared" si="25"/>
        <v>30</v>
      </c>
      <c r="BH7" s="9">
        <f t="shared" si="26"/>
        <v>4</v>
      </c>
      <c r="BI7" s="45">
        <f t="shared" si="20"/>
        <v>0.13333333333333333</v>
      </c>
    </row>
    <row r="8" spans="1:61" ht="24" customHeight="1" x14ac:dyDescent="0.25">
      <c r="A8" s="23" t="s">
        <v>273</v>
      </c>
      <c r="B8" s="28">
        <v>5</v>
      </c>
      <c r="C8" s="29">
        <f>SUM('Partner 1 Data'!D48:F48)</f>
        <v>1</v>
      </c>
      <c r="D8" s="30">
        <f t="shared" si="0"/>
        <v>0.2</v>
      </c>
      <c r="E8" s="31">
        <v>20</v>
      </c>
      <c r="F8" s="28">
        <f>SUM('Partner 1 Data'!G48:J48)</f>
        <v>17</v>
      </c>
      <c r="G8" s="51">
        <f t="shared" si="1"/>
        <v>0.85</v>
      </c>
      <c r="H8" s="31">
        <v>30</v>
      </c>
      <c r="I8" s="28">
        <f>SUM('Partner 1 Data'!K48:N48)</f>
        <v>6</v>
      </c>
      <c r="J8" s="51">
        <f t="shared" si="2"/>
        <v>0.2</v>
      </c>
      <c r="K8" s="31">
        <v>30</v>
      </c>
      <c r="L8" s="28">
        <f>SUM('Partner 1 Data'!O48:R48)</f>
        <v>0</v>
      </c>
      <c r="M8" s="51">
        <f t="shared" si="3"/>
        <v>0</v>
      </c>
      <c r="N8" s="31">
        <f t="shared" si="21"/>
        <v>85</v>
      </c>
      <c r="O8" s="28">
        <f t="shared" si="4"/>
        <v>24</v>
      </c>
      <c r="P8" s="45">
        <f t="shared" si="5"/>
        <v>0.28235294117647058</v>
      </c>
      <c r="Q8" s="6">
        <v>8</v>
      </c>
      <c r="R8" s="14">
        <f>SUM('Partner 3 Data'!D48:F48)</f>
        <v>1</v>
      </c>
      <c r="S8" s="51">
        <f t="shared" si="6"/>
        <v>0.125</v>
      </c>
      <c r="T8" s="6">
        <v>56</v>
      </c>
      <c r="U8" s="9">
        <f>SUM('Partner 3 Data'!G48:J48)</f>
        <v>0</v>
      </c>
      <c r="V8" s="53">
        <f t="shared" si="7"/>
        <v>0</v>
      </c>
      <c r="W8" s="6">
        <v>50</v>
      </c>
      <c r="X8" s="9">
        <f>SUM('Partner 3 Data'!K48:N48)</f>
        <v>19</v>
      </c>
      <c r="Y8" s="53">
        <f t="shared" si="8"/>
        <v>0.38</v>
      </c>
      <c r="Z8" s="6">
        <v>10</v>
      </c>
      <c r="AA8" s="9">
        <f>SUM('Partner 3 Data'!O48:R48)</f>
        <v>0</v>
      </c>
      <c r="AB8" s="10">
        <f t="shared" si="9"/>
        <v>0</v>
      </c>
      <c r="AC8" s="6">
        <f t="shared" si="22"/>
        <v>124</v>
      </c>
      <c r="AD8" s="9">
        <f t="shared" si="10"/>
        <v>20</v>
      </c>
      <c r="AE8" s="45">
        <f t="shared" si="11"/>
        <v>0.16129032258064516</v>
      </c>
      <c r="AF8" s="7">
        <v>5</v>
      </c>
      <c r="AG8" s="14">
        <f>SUM('Partner 4 Data'!D48:F48)</f>
        <v>28</v>
      </c>
      <c r="AH8" s="15">
        <f>AG8/AF8</f>
        <v>5.6</v>
      </c>
      <c r="AI8" s="7">
        <v>20</v>
      </c>
      <c r="AJ8" s="9">
        <f>SUM('Partner 4 Data'!G48:J48)</f>
        <v>27</v>
      </c>
      <c r="AK8" s="53">
        <f t="shared" si="12"/>
        <v>1.35</v>
      </c>
      <c r="AL8" s="7">
        <v>30</v>
      </c>
      <c r="AM8" s="9">
        <f>SUM('Partner 4 Data'!K48:N48)</f>
        <v>27</v>
      </c>
      <c r="AN8" s="53">
        <f t="shared" si="13"/>
        <v>0.9</v>
      </c>
      <c r="AO8" s="7">
        <v>10</v>
      </c>
      <c r="AP8" s="9">
        <f>SUM('Partner 4 Data'!O48:R48)</f>
        <v>0</v>
      </c>
      <c r="AQ8" s="53">
        <f t="shared" si="14"/>
        <v>0</v>
      </c>
      <c r="AR8" s="6">
        <f t="shared" si="23"/>
        <v>65</v>
      </c>
      <c r="AS8" s="9">
        <f t="shared" si="24"/>
        <v>82</v>
      </c>
      <c r="AT8" s="45">
        <f t="shared" si="15"/>
        <v>1.2615384615384615</v>
      </c>
      <c r="AU8" s="7">
        <v>5</v>
      </c>
      <c r="AV8" s="14">
        <f>SUM('Partner 2 Data'!D48:F48)</f>
        <v>0</v>
      </c>
      <c r="AW8" s="15">
        <f t="shared" si="16"/>
        <v>0</v>
      </c>
      <c r="AX8" s="7">
        <v>5</v>
      </c>
      <c r="AY8" s="9">
        <f>SUM('Partner 2 Data'!G48:J48)</f>
        <v>1</v>
      </c>
      <c r="AZ8" s="10">
        <f t="shared" si="17"/>
        <v>0.2</v>
      </c>
      <c r="BA8" s="7">
        <v>5</v>
      </c>
      <c r="BB8" s="9">
        <f>SUM('Partner 2 Data'!K48:N48)</f>
        <v>3</v>
      </c>
      <c r="BC8" s="10">
        <f t="shared" si="18"/>
        <v>0.6</v>
      </c>
      <c r="BD8" s="7">
        <v>5</v>
      </c>
      <c r="BE8" s="9">
        <f>SUM('Partner 2 Data'!O48:R48)</f>
        <v>0</v>
      </c>
      <c r="BF8" s="10">
        <f t="shared" si="19"/>
        <v>0</v>
      </c>
      <c r="BG8" s="6">
        <f t="shared" si="25"/>
        <v>20</v>
      </c>
      <c r="BH8" s="9">
        <f t="shared" si="26"/>
        <v>4</v>
      </c>
      <c r="BI8" s="45">
        <f t="shared" si="20"/>
        <v>0.2</v>
      </c>
    </row>
    <row r="9" spans="1:61" ht="24" customHeight="1" x14ac:dyDescent="0.25">
      <c r="A9" s="23" t="s">
        <v>274</v>
      </c>
      <c r="B9" s="47">
        <v>8</v>
      </c>
      <c r="C9" s="29">
        <f>SUM('Partner 1 Data'!D49:F49)</f>
        <v>0</v>
      </c>
      <c r="D9" s="30">
        <f t="shared" si="0"/>
        <v>0</v>
      </c>
      <c r="E9" s="31">
        <v>18</v>
      </c>
      <c r="F9" s="28">
        <f>SUM('Partner 1 Data'!G49:J49)</f>
        <v>28</v>
      </c>
      <c r="G9" s="51">
        <f t="shared" si="1"/>
        <v>1.5555555555555556</v>
      </c>
      <c r="H9" s="31">
        <v>18</v>
      </c>
      <c r="I9" s="28">
        <f>SUM('Partner 1 Data'!K49:N49)</f>
        <v>5</v>
      </c>
      <c r="J9" s="51">
        <f t="shared" si="2"/>
        <v>0.27777777777777779</v>
      </c>
      <c r="K9" s="31">
        <v>15</v>
      </c>
      <c r="L9" s="28">
        <f>SUM('Partner 1 Data'!O49:R49)</f>
        <v>0</v>
      </c>
      <c r="M9" s="51">
        <f t="shared" si="3"/>
        <v>0</v>
      </c>
      <c r="N9" s="31">
        <f t="shared" si="21"/>
        <v>59</v>
      </c>
      <c r="O9" s="28">
        <f t="shared" si="4"/>
        <v>33</v>
      </c>
      <c r="P9" s="45">
        <f t="shared" si="5"/>
        <v>0.55932203389830504</v>
      </c>
      <c r="Q9" s="6">
        <v>6</v>
      </c>
      <c r="R9" s="14">
        <f>SUM('Partner 3 Data'!D49:F49)</f>
        <v>1</v>
      </c>
      <c r="S9" s="51">
        <f t="shared" si="6"/>
        <v>0.16666666666666666</v>
      </c>
      <c r="T9" s="6">
        <v>44</v>
      </c>
      <c r="U9" s="9">
        <f>SUM('Partner 3 Data'!G49:J49)</f>
        <v>0</v>
      </c>
      <c r="V9" s="53">
        <f t="shared" si="7"/>
        <v>0</v>
      </c>
      <c r="W9" s="6">
        <v>40</v>
      </c>
      <c r="X9" s="9">
        <f>SUM('Partner 3 Data'!K49:N49)</f>
        <v>6</v>
      </c>
      <c r="Y9" s="53">
        <f t="shared" si="8"/>
        <v>0.15</v>
      </c>
      <c r="Z9" s="6">
        <v>8</v>
      </c>
      <c r="AA9" s="9">
        <f>SUM('Partner 3 Data'!O49:R49)</f>
        <v>0</v>
      </c>
      <c r="AB9" s="10">
        <f t="shared" si="9"/>
        <v>0</v>
      </c>
      <c r="AC9" s="6">
        <f t="shared" si="22"/>
        <v>98</v>
      </c>
      <c r="AD9" s="9">
        <f t="shared" si="10"/>
        <v>7</v>
      </c>
      <c r="AE9" s="45">
        <f t="shared" si="11"/>
        <v>7.1428571428571425E-2</v>
      </c>
      <c r="AF9" s="6">
        <v>5</v>
      </c>
      <c r="AG9" s="14">
        <f>SUM('Partner 4 Data'!D49:F49)</f>
        <v>34</v>
      </c>
      <c r="AH9" s="15">
        <f>AG9/AF9</f>
        <v>6.8</v>
      </c>
      <c r="AI9" s="6">
        <v>20</v>
      </c>
      <c r="AJ9" s="9">
        <f>SUM('Partner 4 Data'!G49:J49)</f>
        <v>27</v>
      </c>
      <c r="AK9" s="53">
        <f t="shared" si="12"/>
        <v>1.35</v>
      </c>
      <c r="AL9" s="6">
        <v>25</v>
      </c>
      <c r="AM9" s="9">
        <f>SUM('Partner 4 Data'!K49:N49)</f>
        <v>11</v>
      </c>
      <c r="AN9" s="53">
        <f t="shared" si="13"/>
        <v>0.44</v>
      </c>
      <c r="AO9" s="6">
        <v>10</v>
      </c>
      <c r="AP9" s="9">
        <f>SUM('Partner 4 Data'!O49:R49)</f>
        <v>0</v>
      </c>
      <c r="AQ9" s="53">
        <f t="shared" si="14"/>
        <v>0</v>
      </c>
      <c r="AR9" s="6">
        <f t="shared" si="23"/>
        <v>60</v>
      </c>
      <c r="AS9" s="9">
        <f t="shared" si="24"/>
        <v>72</v>
      </c>
      <c r="AT9" s="45">
        <f t="shared" si="15"/>
        <v>1.2</v>
      </c>
      <c r="AU9" s="6">
        <v>3</v>
      </c>
      <c r="AV9" s="14">
        <f>SUM('Partner 2 Data'!D49:F49)</f>
        <v>0</v>
      </c>
      <c r="AW9" s="15">
        <f t="shared" si="16"/>
        <v>0</v>
      </c>
      <c r="AX9" s="6">
        <v>6</v>
      </c>
      <c r="AY9" s="9">
        <f>SUM('Partner 2 Data'!G49:J49)</f>
        <v>0</v>
      </c>
      <c r="AZ9" s="10">
        <f t="shared" si="17"/>
        <v>0</v>
      </c>
      <c r="BA9" s="6">
        <v>3</v>
      </c>
      <c r="BB9" s="9">
        <f>SUM('Partner 2 Data'!K49:N49)</f>
        <v>0</v>
      </c>
      <c r="BC9" s="10">
        <f t="shared" si="18"/>
        <v>0</v>
      </c>
      <c r="BD9" s="6">
        <v>3</v>
      </c>
      <c r="BE9" s="9">
        <f>SUM('Partner 2 Data'!O49:R49)</f>
        <v>0</v>
      </c>
      <c r="BF9" s="10">
        <f t="shared" si="19"/>
        <v>0</v>
      </c>
      <c r="BG9" s="6">
        <f t="shared" si="25"/>
        <v>15</v>
      </c>
      <c r="BH9" s="9">
        <f t="shared" si="26"/>
        <v>0</v>
      </c>
      <c r="BI9" s="45">
        <f t="shared" si="20"/>
        <v>0</v>
      </c>
    </row>
    <row r="10" spans="1:61" ht="24" customHeight="1" x14ac:dyDescent="0.25">
      <c r="A10" s="23" t="s">
        <v>275</v>
      </c>
      <c r="B10" s="48">
        <v>15</v>
      </c>
      <c r="C10" s="49">
        <f>SUM('Partner 1 Data'!D50:F50)</f>
        <v>6</v>
      </c>
      <c r="D10" s="32">
        <f t="shared" si="0"/>
        <v>0.4</v>
      </c>
      <c r="E10" s="50">
        <v>35</v>
      </c>
      <c r="F10" s="33">
        <f>SUM('Partner 1 Data'!G50:J50)</f>
        <v>15</v>
      </c>
      <c r="G10" s="52">
        <f t="shared" si="1"/>
        <v>0.42857142857142855</v>
      </c>
      <c r="H10" s="50">
        <v>35</v>
      </c>
      <c r="I10" s="33">
        <f>SUM('Partner 1 Data'!K50:N50)</f>
        <v>2</v>
      </c>
      <c r="J10" s="52">
        <f t="shared" si="2"/>
        <v>5.7142857142857141E-2</v>
      </c>
      <c r="K10" s="50">
        <v>15</v>
      </c>
      <c r="L10" s="33">
        <f>SUM('Partner 1 Data'!O50:R50)</f>
        <v>0</v>
      </c>
      <c r="M10" s="52">
        <f t="shared" si="3"/>
        <v>0</v>
      </c>
      <c r="N10" s="50">
        <f t="shared" si="21"/>
        <v>100</v>
      </c>
      <c r="O10" s="33">
        <f t="shared" si="4"/>
        <v>23</v>
      </c>
      <c r="P10" s="46">
        <f t="shared" si="5"/>
        <v>0.23</v>
      </c>
      <c r="Q10" s="24">
        <v>1</v>
      </c>
      <c r="R10" s="199">
        <f>SUM('Partner 3 Data'!D50:F50)</f>
        <v>1</v>
      </c>
      <c r="S10" s="51">
        <f t="shared" si="6"/>
        <v>1</v>
      </c>
      <c r="T10" s="24">
        <v>20</v>
      </c>
      <c r="U10" s="200">
        <f>SUM('Partner 3 Data'!G50:J50)</f>
        <v>0</v>
      </c>
      <c r="V10" s="54">
        <f t="shared" si="7"/>
        <v>0</v>
      </c>
      <c r="W10" s="24">
        <v>20</v>
      </c>
      <c r="X10" s="200">
        <f>SUM('Partner 3 Data'!K50:N50)</f>
        <v>0</v>
      </c>
      <c r="Y10" s="54">
        <f t="shared" si="8"/>
        <v>0</v>
      </c>
      <c r="Z10" s="24">
        <v>10</v>
      </c>
      <c r="AA10" s="200">
        <f>SUM('Partner 3 Data'!O50:R50)</f>
        <v>0</v>
      </c>
      <c r="AB10" s="17">
        <f t="shared" si="9"/>
        <v>0</v>
      </c>
      <c r="AC10" s="24">
        <f t="shared" si="22"/>
        <v>51</v>
      </c>
      <c r="AD10" s="200">
        <f t="shared" si="10"/>
        <v>1</v>
      </c>
      <c r="AE10" s="46">
        <f t="shared" si="11"/>
        <v>1.9607843137254902E-2</v>
      </c>
      <c r="AF10" s="7">
        <v>0</v>
      </c>
      <c r="AG10" s="199">
        <f>SUM('Partner 4 Data'!D50:F50)</f>
        <v>0</v>
      </c>
      <c r="AH10" s="16" t="s">
        <v>37</v>
      </c>
      <c r="AI10" s="8">
        <v>5</v>
      </c>
      <c r="AJ10" s="200">
        <f>SUM('Partner 4 Data'!G50:J50)</f>
        <v>0</v>
      </c>
      <c r="AK10" s="54">
        <f t="shared" si="12"/>
        <v>0</v>
      </c>
      <c r="AL10" s="8">
        <v>10</v>
      </c>
      <c r="AM10" s="200">
        <f>SUM('Partner 4 Data'!K50:N50)</f>
        <v>14</v>
      </c>
      <c r="AN10" s="54">
        <f t="shared" si="13"/>
        <v>1.4</v>
      </c>
      <c r="AO10" s="8">
        <v>5</v>
      </c>
      <c r="AP10" s="200">
        <f>SUM('Partner 4 Data'!O50:R50)</f>
        <v>0</v>
      </c>
      <c r="AQ10" s="54">
        <f t="shared" si="14"/>
        <v>0</v>
      </c>
      <c r="AR10" s="24">
        <f t="shared" si="23"/>
        <v>20</v>
      </c>
      <c r="AS10" s="200">
        <f t="shared" si="24"/>
        <v>14</v>
      </c>
      <c r="AT10" s="46">
        <f t="shared" si="15"/>
        <v>0.7</v>
      </c>
      <c r="AU10" s="8">
        <v>3</v>
      </c>
      <c r="AV10" s="199">
        <f>SUM('Partner 2 Data'!D50:F50)</f>
        <v>0</v>
      </c>
      <c r="AW10" s="16">
        <f t="shared" si="16"/>
        <v>0</v>
      </c>
      <c r="AX10" s="8">
        <v>6</v>
      </c>
      <c r="AY10" s="200">
        <f>SUM('Partner 2 Data'!G50:J50)</f>
        <v>0</v>
      </c>
      <c r="AZ10" s="17">
        <f t="shared" si="17"/>
        <v>0</v>
      </c>
      <c r="BA10" s="8">
        <v>3</v>
      </c>
      <c r="BB10" s="200">
        <f>SUM('Partner 2 Data'!K50:N50)</f>
        <v>1</v>
      </c>
      <c r="BC10" s="17">
        <f t="shared" si="18"/>
        <v>0.33333333333333331</v>
      </c>
      <c r="BD10" s="8">
        <v>3</v>
      </c>
      <c r="BE10" s="200">
        <f>SUM('Partner 2 Data'!O50:R50)</f>
        <v>0</v>
      </c>
      <c r="BF10" s="17">
        <f t="shared" si="19"/>
        <v>0</v>
      </c>
      <c r="BG10" s="24">
        <f t="shared" si="25"/>
        <v>15</v>
      </c>
      <c r="BH10" s="200">
        <f t="shared" si="26"/>
        <v>1</v>
      </c>
      <c r="BI10" s="46">
        <f t="shared" si="20"/>
        <v>6.6666666666666666E-2</v>
      </c>
    </row>
    <row r="11" spans="1:61" ht="24" customHeight="1" x14ac:dyDescent="0.45">
      <c r="A11" s="341" t="s">
        <v>229</v>
      </c>
      <c r="B11" s="343"/>
      <c r="C11" s="344"/>
      <c r="D11" s="345"/>
      <c r="E11" s="330" t="s">
        <v>0</v>
      </c>
      <c r="F11" s="331" t="s">
        <v>1</v>
      </c>
      <c r="G11" s="331" t="s">
        <v>25</v>
      </c>
      <c r="H11" s="330" t="s">
        <v>0</v>
      </c>
      <c r="I11" s="331" t="s">
        <v>1</v>
      </c>
      <c r="J11" s="332" t="s">
        <v>25</v>
      </c>
      <c r="K11" s="517" t="s">
        <v>258</v>
      </c>
      <c r="L11" s="518"/>
      <c r="M11" s="518"/>
      <c r="N11" s="518"/>
      <c r="O11" s="407">
        <f>Expenditures!E8/Performance!O5</f>
        <v>1127.6852201257861</v>
      </c>
      <c r="P11" s="405"/>
      <c r="Q11" s="405"/>
      <c r="R11" s="405"/>
      <c r="S11" s="406"/>
      <c r="T11" s="326" t="s">
        <v>0</v>
      </c>
      <c r="U11" s="326" t="s">
        <v>1</v>
      </c>
      <c r="V11" s="327" t="s">
        <v>25</v>
      </c>
      <c r="W11" s="326" t="s">
        <v>0</v>
      </c>
      <c r="X11" s="326" t="s">
        <v>1</v>
      </c>
      <c r="Y11" s="327" t="s">
        <v>25</v>
      </c>
      <c r="Z11" s="517" t="s">
        <v>258</v>
      </c>
      <c r="AA11" s="518"/>
      <c r="AB11" s="518"/>
      <c r="AC11" s="518"/>
      <c r="AD11" s="39">
        <f>Expenditures!E9/Performance!AD5</f>
        <v>2860.1604255319153</v>
      </c>
      <c r="AE11" s="405"/>
      <c r="AF11" s="405"/>
      <c r="AG11" s="405"/>
      <c r="AH11" s="406"/>
      <c r="AI11" s="326" t="s">
        <v>0</v>
      </c>
      <c r="AJ11" s="326" t="s">
        <v>1</v>
      </c>
      <c r="AK11" s="327" t="s">
        <v>25</v>
      </c>
      <c r="AL11" s="326" t="s">
        <v>0</v>
      </c>
      <c r="AM11" s="326" t="s">
        <v>1</v>
      </c>
      <c r="AN11" s="327" t="s">
        <v>25</v>
      </c>
      <c r="AO11" s="517" t="s">
        <v>258</v>
      </c>
      <c r="AP11" s="518"/>
      <c r="AQ11" s="518"/>
      <c r="AR11" s="518"/>
      <c r="AS11" s="39">
        <f>Expenditures!E10/Performance!AS5</f>
        <v>892.91082802547771</v>
      </c>
      <c r="AT11" s="405"/>
      <c r="AU11" s="405"/>
      <c r="AV11" s="405"/>
      <c r="AW11" s="406"/>
      <c r="AX11" s="326" t="s">
        <v>0</v>
      </c>
      <c r="AY11" s="326" t="s">
        <v>1</v>
      </c>
      <c r="AZ11" s="327" t="s">
        <v>25</v>
      </c>
      <c r="BA11" s="326" t="s">
        <v>0</v>
      </c>
      <c r="BB11" s="326" t="s">
        <v>1</v>
      </c>
      <c r="BC11" s="332" t="s">
        <v>25</v>
      </c>
      <c r="BD11" s="517" t="s">
        <v>258</v>
      </c>
      <c r="BE11" s="518"/>
      <c r="BF11" s="518"/>
      <c r="BG11" s="518"/>
      <c r="BH11" s="407">
        <f>Expenditures!E11/Performance!BH5</f>
        <v>4109.2281538461539</v>
      </c>
      <c r="BI11" s="406"/>
    </row>
    <row r="12" spans="1:61" ht="24" customHeight="1" x14ac:dyDescent="0.25">
      <c r="A12" s="342" t="s">
        <v>230</v>
      </c>
      <c r="B12" s="339"/>
      <c r="C12" s="329"/>
      <c r="D12" s="346"/>
      <c r="E12" s="333">
        <f>SUM(B5,E5)</f>
        <v>35</v>
      </c>
      <c r="F12" s="325">
        <f>SUM(C5,F5)</f>
        <v>145</v>
      </c>
      <c r="G12" s="328">
        <f>F12/E12</f>
        <v>4.1428571428571432</v>
      </c>
      <c r="H12" s="333">
        <f>SUM(E12,H5)</f>
        <v>85</v>
      </c>
      <c r="I12" s="325">
        <f>SUM(F12,I5)</f>
        <v>159</v>
      </c>
      <c r="J12" s="334">
        <f>I12/H12</f>
        <v>1.8705882352941177</v>
      </c>
      <c r="K12" s="408"/>
      <c r="L12" s="408"/>
      <c r="M12" s="409"/>
      <c r="N12" s="408"/>
      <c r="O12" s="408"/>
      <c r="P12" s="409"/>
      <c r="Q12" s="410"/>
      <c r="R12" s="411"/>
      <c r="S12" s="412"/>
      <c r="T12" s="333">
        <f>SUM(Q5,T5)</f>
        <v>65</v>
      </c>
      <c r="U12" s="325">
        <f>SUM(R5,U5)</f>
        <v>4</v>
      </c>
      <c r="V12" s="328">
        <f>U12/T12</f>
        <v>6.1538461538461542E-2</v>
      </c>
      <c r="W12" s="333">
        <f>SUM(T12,W5)</f>
        <v>120</v>
      </c>
      <c r="X12" s="325">
        <f>SUM(U12,X5)</f>
        <v>94</v>
      </c>
      <c r="Y12" s="334">
        <f>X12/W12</f>
        <v>0.78333333333333333</v>
      </c>
      <c r="Z12" s="408"/>
      <c r="AA12" s="408"/>
      <c r="AB12" s="409"/>
      <c r="AC12" s="410"/>
      <c r="AD12" s="410"/>
      <c r="AE12" s="409"/>
      <c r="AF12" s="410"/>
      <c r="AG12" s="411"/>
      <c r="AH12" s="412"/>
      <c r="AI12" s="333">
        <f>SUM(AF5,AI5)</f>
        <v>35</v>
      </c>
      <c r="AJ12" s="325">
        <f>SUM(AG5,AJ5)</f>
        <v>111</v>
      </c>
      <c r="AK12" s="328">
        <f>AJ12/AI12</f>
        <v>3.1714285714285713</v>
      </c>
      <c r="AL12" s="333">
        <f>SUM(AI12,AL5)</f>
        <v>70</v>
      </c>
      <c r="AM12" s="325">
        <f>SUM(AJ12,AM5)</f>
        <v>157</v>
      </c>
      <c r="AN12" s="334">
        <f>AM12/AL12</f>
        <v>2.2428571428571429</v>
      </c>
      <c r="AO12" s="408"/>
      <c r="AP12" s="408"/>
      <c r="AQ12" s="409"/>
      <c r="AR12" s="410"/>
      <c r="AS12" s="410"/>
      <c r="AT12" s="409"/>
      <c r="AU12" s="410"/>
      <c r="AV12" s="411"/>
      <c r="AW12" s="412"/>
      <c r="AX12" s="333">
        <f>SUM(AU5,AX5)</f>
        <v>25</v>
      </c>
      <c r="AY12" s="325">
        <f>SUM(AV5,AY5)</f>
        <v>42</v>
      </c>
      <c r="AZ12" s="328">
        <f>AY12/AX12</f>
        <v>1.68</v>
      </c>
      <c r="BA12" s="333">
        <f>SUM(AX12,BA5)</f>
        <v>40</v>
      </c>
      <c r="BB12" s="325">
        <f>SUM(AY12,BB5)</f>
        <v>65</v>
      </c>
      <c r="BC12" s="334">
        <f>BB12/BA12</f>
        <v>1.625</v>
      </c>
      <c r="BD12" s="408"/>
      <c r="BE12" s="408"/>
      <c r="BF12" s="409"/>
      <c r="BG12" s="410"/>
      <c r="BH12" s="410"/>
      <c r="BI12" s="412"/>
    </row>
    <row r="13" spans="1:61" ht="24" customHeight="1" x14ac:dyDescent="0.25">
      <c r="A13" s="342" t="s">
        <v>231</v>
      </c>
      <c r="B13" s="339"/>
      <c r="C13" s="329"/>
      <c r="D13" s="346"/>
      <c r="E13" s="333">
        <f t="shared" ref="E13:E17" si="27">SUM(B6,E6)</f>
        <v>52</v>
      </c>
      <c r="F13" s="325">
        <f t="shared" ref="F13:F17" si="28">SUM(C6,F6)</f>
        <v>108</v>
      </c>
      <c r="G13" s="328">
        <f t="shared" ref="G13:G17" si="29">F13/E13</f>
        <v>2.0769230769230771</v>
      </c>
      <c r="H13" s="333">
        <f t="shared" ref="H13:H17" si="30">SUM(E13,H6)</f>
        <v>82</v>
      </c>
      <c r="I13" s="325">
        <f t="shared" ref="I13:I17" si="31">SUM(F13,I6)</f>
        <v>144</v>
      </c>
      <c r="J13" s="334">
        <f t="shared" ref="J13:J17" si="32">I13/H13</f>
        <v>1.7560975609756098</v>
      </c>
      <c r="K13" s="408"/>
      <c r="L13" s="408"/>
      <c r="M13" s="409"/>
      <c r="N13" s="408"/>
      <c r="O13" s="408"/>
      <c r="P13" s="409"/>
      <c r="Q13" s="410"/>
      <c r="R13" s="411"/>
      <c r="S13" s="412"/>
      <c r="T13" s="333">
        <f t="shared" ref="T13:T17" si="33">SUM(Q6,T6)</f>
        <v>75</v>
      </c>
      <c r="U13" s="325">
        <f t="shared" ref="U13:U17" si="34">SUM(R6,U6)</f>
        <v>4</v>
      </c>
      <c r="V13" s="328">
        <f t="shared" ref="V13:V17" si="35">U13/T13</f>
        <v>5.3333333333333337E-2</v>
      </c>
      <c r="W13" s="333">
        <f t="shared" ref="W13:W17" si="36">SUM(T13,W6)</f>
        <v>135</v>
      </c>
      <c r="X13" s="325">
        <f t="shared" ref="X13:X17" si="37">SUM(U13,X6)</f>
        <v>53</v>
      </c>
      <c r="Y13" s="334">
        <f t="shared" ref="Y13:Y17" si="38">X13/W13</f>
        <v>0.3925925925925926</v>
      </c>
      <c r="Z13" s="408"/>
      <c r="AA13" s="408"/>
      <c r="AB13" s="409"/>
      <c r="AC13" s="410"/>
      <c r="AD13" s="410"/>
      <c r="AE13" s="409"/>
      <c r="AF13" s="410"/>
      <c r="AG13" s="411"/>
      <c r="AH13" s="412"/>
      <c r="AI13" s="333">
        <f t="shared" ref="AI13:AI17" si="39">SUM(AF6,AI6)</f>
        <v>30</v>
      </c>
      <c r="AJ13" s="325">
        <f t="shared" ref="AJ13:AJ17" si="40">SUM(AG6,AJ6)</f>
        <v>111</v>
      </c>
      <c r="AK13" s="328">
        <f t="shared" ref="AK13:AK17" si="41">AJ13/AI13</f>
        <v>3.7</v>
      </c>
      <c r="AL13" s="333">
        <f t="shared" ref="AL13:AL17" si="42">SUM(AI13,AL6)</f>
        <v>65</v>
      </c>
      <c r="AM13" s="325">
        <f t="shared" ref="AM13:AM17" si="43">SUM(AJ13,AM6)</f>
        <v>157</v>
      </c>
      <c r="AN13" s="334">
        <f t="shared" ref="AN13:AN17" si="44">AM13/AL13</f>
        <v>2.4153846153846152</v>
      </c>
      <c r="AO13" s="408"/>
      <c r="AP13" s="408"/>
      <c r="AQ13" s="409"/>
      <c r="AR13" s="410"/>
      <c r="AS13" s="410"/>
      <c r="AT13" s="409"/>
      <c r="AU13" s="410"/>
      <c r="AV13" s="411"/>
      <c r="AW13" s="412"/>
      <c r="AX13" s="333">
        <f t="shared" ref="AX13:AX17" si="45">SUM(AU6,AX6)</f>
        <v>20</v>
      </c>
      <c r="AY13" s="325">
        <f t="shared" ref="AY13:AY17" si="46">SUM(AV6,AY6)</f>
        <v>36</v>
      </c>
      <c r="AZ13" s="328">
        <f t="shared" ref="AZ13:AZ17" si="47">AY13/AX13</f>
        <v>1.8</v>
      </c>
      <c r="BA13" s="333">
        <f t="shared" ref="BA13:BA17" si="48">SUM(AX13,BA6)</f>
        <v>30</v>
      </c>
      <c r="BB13" s="325">
        <f t="shared" ref="BB13:BB17" si="49">SUM(AY13,BB6)</f>
        <v>55</v>
      </c>
      <c r="BC13" s="334">
        <f t="shared" ref="BC13:BC17" si="50">BB13/BA13</f>
        <v>1.8333333333333333</v>
      </c>
      <c r="BD13" s="408"/>
      <c r="BE13" s="408"/>
      <c r="BF13" s="409"/>
      <c r="BG13" s="410"/>
      <c r="BH13" s="410"/>
      <c r="BI13" s="412"/>
    </row>
    <row r="14" spans="1:61" ht="24" customHeight="1" x14ac:dyDescent="0.25">
      <c r="A14" s="342" t="s">
        <v>232</v>
      </c>
      <c r="B14" s="339"/>
      <c r="C14" s="329"/>
      <c r="D14" s="346"/>
      <c r="E14" s="333">
        <f t="shared" si="27"/>
        <v>25</v>
      </c>
      <c r="F14" s="325">
        <f t="shared" si="28"/>
        <v>51</v>
      </c>
      <c r="G14" s="328">
        <f t="shared" si="29"/>
        <v>2.04</v>
      </c>
      <c r="H14" s="333">
        <f t="shared" si="30"/>
        <v>55</v>
      </c>
      <c r="I14" s="325">
        <f t="shared" si="31"/>
        <v>60</v>
      </c>
      <c r="J14" s="334">
        <f t="shared" si="32"/>
        <v>1.0909090909090908</v>
      </c>
      <c r="K14" s="408"/>
      <c r="L14" s="408"/>
      <c r="M14" s="409"/>
      <c r="N14" s="408"/>
      <c r="O14" s="408"/>
      <c r="P14" s="409"/>
      <c r="Q14" s="410"/>
      <c r="R14" s="411"/>
      <c r="S14" s="412"/>
      <c r="T14" s="333">
        <f t="shared" si="33"/>
        <v>64</v>
      </c>
      <c r="U14" s="325">
        <f t="shared" si="34"/>
        <v>1</v>
      </c>
      <c r="V14" s="328">
        <f t="shared" si="35"/>
        <v>1.5625E-2</v>
      </c>
      <c r="W14" s="333">
        <f t="shared" si="36"/>
        <v>114</v>
      </c>
      <c r="X14" s="325">
        <f t="shared" si="37"/>
        <v>28</v>
      </c>
      <c r="Y14" s="334">
        <f t="shared" si="38"/>
        <v>0.24561403508771928</v>
      </c>
      <c r="Z14" s="408"/>
      <c r="AA14" s="408"/>
      <c r="AB14" s="409"/>
      <c r="AC14" s="410"/>
      <c r="AD14" s="410"/>
      <c r="AE14" s="409"/>
      <c r="AF14" s="410"/>
      <c r="AG14" s="411"/>
      <c r="AH14" s="412"/>
      <c r="AI14" s="333">
        <f t="shared" si="39"/>
        <v>25</v>
      </c>
      <c r="AJ14" s="325">
        <f t="shared" si="40"/>
        <v>69</v>
      </c>
      <c r="AK14" s="328">
        <f t="shared" si="41"/>
        <v>2.76</v>
      </c>
      <c r="AL14" s="333">
        <f t="shared" si="42"/>
        <v>55</v>
      </c>
      <c r="AM14" s="325">
        <f t="shared" si="43"/>
        <v>83</v>
      </c>
      <c r="AN14" s="334">
        <f t="shared" si="44"/>
        <v>1.509090909090909</v>
      </c>
      <c r="AO14" s="408"/>
      <c r="AP14" s="408"/>
      <c r="AQ14" s="409"/>
      <c r="AR14" s="410"/>
      <c r="AS14" s="410"/>
      <c r="AT14" s="409"/>
      <c r="AU14" s="410"/>
      <c r="AV14" s="411"/>
      <c r="AW14" s="412"/>
      <c r="AX14" s="333">
        <f t="shared" si="45"/>
        <v>15</v>
      </c>
      <c r="AY14" s="325">
        <f t="shared" si="46"/>
        <v>1</v>
      </c>
      <c r="AZ14" s="328">
        <f t="shared" si="47"/>
        <v>6.6666666666666666E-2</v>
      </c>
      <c r="BA14" s="333">
        <f t="shared" si="48"/>
        <v>25</v>
      </c>
      <c r="BB14" s="325">
        <f t="shared" si="49"/>
        <v>4</v>
      </c>
      <c r="BC14" s="334">
        <f t="shared" si="50"/>
        <v>0.16</v>
      </c>
      <c r="BD14" s="408"/>
      <c r="BE14" s="408"/>
      <c r="BF14" s="409"/>
      <c r="BG14" s="410"/>
      <c r="BH14" s="410"/>
      <c r="BI14" s="412"/>
    </row>
    <row r="15" spans="1:61" ht="24" customHeight="1" x14ac:dyDescent="0.25">
      <c r="A15" s="342"/>
      <c r="B15" s="339"/>
      <c r="C15" s="329"/>
      <c r="D15" s="346"/>
      <c r="E15" s="333">
        <f t="shared" si="27"/>
        <v>25</v>
      </c>
      <c r="F15" s="325">
        <f t="shared" si="28"/>
        <v>18</v>
      </c>
      <c r="G15" s="328">
        <f t="shared" si="29"/>
        <v>0.72</v>
      </c>
      <c r="H15" s="333">
        <f t="shared" si="30"/>
        <v>55</v>
      </c>
      <c r="I15" s="325">
        <f t="shared" si="31"/>
        <v>24</v>
      </c>
      <c r="J15" s="334">
        <f t="shared" si="32"/>
        <v>0.43636363636363634</v>
      </c>
      <c r="K15" s="408"/>
      <c r="L15" s="408"/>
      <c r="M15" s="409"/>
      <c r="N15" s="408"/>
      <c r="O15" s="408"/>
      <c r="P15" s="409"/>
      <c r="Q15" s="410"/>
      <c r="R15" s="411"/>
      <c r="S15" s="412"/>
      <c r="T15" s="333">
        <f t="shared" si="33"/>
        <v>64</v>
      </c>
      <c r="U15" s="325">
        <f t="shared" si="34"/>
        <v>1</v>
      </c>
      <c r="V15" s="328">
        <f t="shared" si="35"/>
        <v>1.5625E-2</v>
      </c>
      <c r="W15" s="333">
        <f t="shared" si="36"/>
        <v>114</v>
      </c>
      <c r="X15" s="325">
        <f t="shared" si="37"/>
        <v>20</v>
      </c>
      <c r="Y15" s="334">
        <f t="shared" si="38"/>
        <v>0.17543859649122806</v>
      </c>
      <c r="Z15" s="408"/>
      <c r="AA15" s="408"/>
      <c r="AB15" s="409"/>
      <c r="AC15" s="410"/>
      <c r="AD15" s="410"/>
      <c r="AE15" s="409"/>
      <c r="AF15" s="410"/>
      <c r="AG15" s="411"/>
      <c r="AH15" s="412"/>
      <c r="AI15" s="333">
        <f t="shared" si="39"/>
        <v>25</v>
      </c>
      <c r="AJ15" s="325">
        <f t="shared" si="40"/>
        <v>55</v>
      </c>
      <c r="AK15" s="328">
        <f t="shared" si="41"/>
        <v>2.2000000000000002</v>
      </c>
      <c r="AL15" s="333">
        <f t="shared" si="42"/>
        <v>55</v>
      </c>
      <c r="AM15" s="325">
        <f t="shared" si="43"/>
        <v>82</v>
      </c>
      <c r="AN15" s="334">
        <f t="shared" si="44"/>
        <v>1.490909090909091</v>
      </c>
      <c r="AO15" s="408"/>
      <c r="AP15" s="408"/>
      <c r="AQ15" s="409"/>
      <c r="AR15" s="410"/>
      <c r="AS15" s="410"/>
      <c r="AT15" s="409"/>
      <c r="AU15" s="410"/>
      <c r="AV15" s="411"/>
      <c r="AW15" s="412"/>
      <c r="AX15" s="333">
        <f t="shared" si="45"/>
        <v>10</v>
      </c>
      <c r="AY15" s="325">
        <f t="shared" si="46"/>
        <v>1</v>
      </c>
      <c r="AZ15" s="328">
        <f t="shared" si="47"/>
        <v>0.1</v>
      </c>
      <c r="BA15" s="333">
        <f t="shared" si="48"/>
        <v>15</v>
      </c>
      <c r="BB15" s="325">
        <f t="shared" si="49"/>
        <v>4</v>
      </c>
      <c r="BC15" s="334">
        <f t="shared" si="50"/>
        <v>0.26666666666666666</v>
      </c>
      <c r="BD15" s="408"/>
      <c r="BE15" s="408"/>
      <c r="BF15" s="409"/>
      <c r="BG15" s="410"/>
      <c r="BH15" s="410"/>
      <c r="BI15" s="412"/>
    </row>
    <row r="16" spans="1:61" ht="24" customHeight="1" x14ac:dyDescent="0.25">
      <c r="A16" s="342"/>
      <c r="B16" s="339"/>
      <c r="C16" s="329"/>
      <c r="D16" s="346"/>
      <c r="E16" s="333">
        <f t="shared" si="27"/>
        <v>26</v>
      </c>
      <c r="F16" s="325">
        <f t="shared" si="28"/>
        <v>28</v>
      </c>
      <c r="G16" s="328">
        <f t="shared" si="29"/>
        <v>1.0769230769230769</v>
      </c>
      <c r="H16" s="333">
        <f t="shared" si="30"/>
        <v>44</v>
      </c>
      <c r="I16" s="325">
        <f t="shared" si="31"/>
        <v>33</v>
      </c>
      <c r="J16" s="334">
        <f t="shared" si="32"/>
        <v>0.75</v>
      </c>
      <c r="K16" s="408"/>
      <c r="L16" s="408"/>
      <c r="M16" s="409"/>
      <c r="N16" s="408"/>
      <c r="O16" s="408"/>
      <c r="P16" s="409"/>
      <c r="Q16" s="410"/>
      <c r="R16" s="411"/>
      <c r="S16" s="412"/>
      <c r="T16" s="333">
        <f t="shared" si="33"/>
        <v>50</v>
      </c>
      <c r="U16" s="325">
        <f t="shared" si="34"/>
        <v>1</v>
      </c>
      <c r="V16" s="328">
        <f t="shared" si="35"/>
        <v>0.02</v>
      </c>
      <c r="W16" s="333">
        <f t="shared" si="36"/>
        <v>90</v>
      </c>
      <c r="X16" s="325">
        <f t="shared" si="37"/>
        <v>7</v>
      </c>
      <c r="Y16" s="334">
        <f t="shared" si="38"/>
        <v>7.7777777777777779E-2</v>
      </c>
      <c r="Z16" s="408"/>
      <c r="AA16" s="408"/>
      <c r="AB16" s="409"/>
      <c r="AC16" s="410"/>
      <c r="AD16" s="410"/>
      <c r="AE16" s="409"/>
      <c r="AF16" s="410"/>
      <c r="AG16" s="411"/>
      <c r="AH16" s="412"/>
      <c r="AI16" s="333">
        <f t="shared" si="39"/>
        <v>25</v>
      </c>
      <c r="AJ16" s="325">
        <f t="shared" si="40"/>
        <v>61</v>
      </c>
      <c r="AK16" s="328">
        <f t="shared" si="41"/>
        <v>2.44</v>
      </c>
      <c r="AL16" s="333">
        <f t="shared" si="42"/>
        <v>50</v>
      </c>
      <c r="AM16" s="325">
        <f t="shared" si="43"/>
        <v>72</v>
      </c>
      <c r="AN16" s="334">
        <f t="shared" si="44"/>
        <v>1.44</v>
      </c>
      <c r="AO16" s="408"/>
      <c r="AP16" s="408"/>
      <c r="AQ16" s="409"/>
      <c r="AR16" s="410"/>
      <c r="AS16" s="410"/>
      <c r="AT16" s="409"/>
      <c r="AU16" s="410"/>
      <c r="AV16" s="411"/>
      <c r="AW16" s="412"/>
      <c r="AX16" s="333">
        <f t="shared" si="45"/>
        <v>9</v>
      </c>
      <c r="AY16" s="325">
        <f t="shared" si="46"/>
        <v>0</v>
      </c>
      <c r="AZ16" s="328">
        <f t="shared" si="47"/>
        <v>0</v>
      </c>
      <c r="BA16" s="333">
        <f t="shared" si="48"/>
        <v>12</v>
      </c>
      <c r="BB16" s="325">
        <f t="shared" si="49"/>
        <v>0</v>
      </c>
      <c r="BC16" s="334">
        <f t="shared" si="50"/>
        <v>0</v>
      </c>
      <c r="BD16" s="408"/>
      <c r="BE16" s="408"/>
      <c r="BF16" s="409"/>
      <c r="BG16" s="410"/>
      <c r="BH16" s="410"/>
      <c r="BI16" s="412"/>
    </row>
    <row r="17" spans="1:61" ht="24" customHeight="1" x14ac:dyDescent="0.25">
      <c r="A17" s="342"/>
      <c r="B17" s="340"/>
      <c r="C17" s="347"/>
      <c r="D17" s="348"/>
      <c r="E17" s="335">
        <f t="shared" si="27"/>
        <v>50</v>
      </c>
      <c r="F17" s="336">
        <f t="shared" si="28"/>
        <v>21</v>
      </c>
      <c r="G17" s="337">
        <f t="shared" si="29"/>
        <v>0.42</v>
      </c>
      <c r="H17" s="335">
        <f t="shared" si="30"/>
        <v>85</v>
      </c>
      <c r="I17" s="336">
        <f t="shared" si="31"/>
        <v>23</v>
      </c>
      <c r="J17" s="338">
        <f t="shared" si="32"/>
        <v>0.27058823529411763</v>
      </c>
      <c r="K17" s="413"/>
      <c r="L17" s="413"/>
      <c r="M17" s="414"/>
      <c r="N17" s="415"/>
      <c r="O17" s="413"/>
      <c r="P17" s="416"/>
      <c r="Q17" s="417"/>
      <c r="R17" s="418"/>
      <c r="S17" s="419"/>
      <c r="T17" s="335">
        <f t="shared" si="33"/>
        <v>21</v>
      </c>
      <c r="U17" s="336">
        <f t="shared" si="34"/>
        <v>1</v>
      </c>
      <c r="V17" s="337">
        <f t="shared" si="35"/>
        <v>4.7619047619047616E-2</v>
      </c>
      <c r="W17" s="335">
        <f t="shared" si="36"/>
        <v>41</v>
      </c>
      <c r="X17" s="336">
        <f t="shared" si="37"/>
        <v>1</v>
      </c>
      <c r="Y17" s="338">
        <f t="shared" si="38"/>
        <v>2.4390243902439025E-2</v>
      </c>
      <c r="Z17" s="413"/>
      <c r="AA17" s="413"/>
      <c r="AB17" s="416"/>
      <c r="AC17" s="417"/>
      <c r="AD17" s="417"/>
      <c r="AE17" s="416"/>
      <c r="AF17" s="417"/>
      <c r="AG17" s="418"/>
      <c r="AH17" s="419"/>
      <c r="AI17" s="335">
        <f t="shared" si="39"/>
        <v>5</v>
      </c>
      <c r="AJ17" s="336">
        <f t="shared" si="40"/>
        <v>0</v>
      </c>
      <c r="AK17" s="337">
        <f t="shared" si="41"/>
        <v>0</v>
      </c>
      <c r="AL17" s="335">
        <f t="shared" si="42"/>
        <v>15</v>
      </c>
      <c r="AM17" s="336">
        <f t="shared" si="43"/>
        <v>14</v>
      </c>
      <c r="AN17" s="338">
        <f t="shared" si="44"/>
        <v>0.93333333333333335</v>
      </c>
      <c r="AO17" s="413"/>
      <c r="AP17" s="413"/>
      <c r="AQ17" s="416"/>
      <c r="AR17" s="417"/>
      <c r="AS17" s="417"/>
      <c r="AT17" s="416"/>
      <c r="AU17" s="417"/>
      <c r="AV17" s="418"/>
      <c r="AW17" s="419"/>
      <c r="AX17" s="335">
        <f t="shared" si="45"/>
        <v>9</v>
      </c>
      <c r="AY17" s="336">
        <f t="shared" si="46"/>
        <v>0</v>
      </c>
      <c r="AZ17" s="337">
        <f t="shared" si="47"/>
        <v>0</v>
      </c>
      <c r="BA17" s="335">
        <f t="shared" si="48"/>
        <v>12</v>
      </c>
      <c r="BB17" s="336">
        <f t="shared" si="49"/>
        <v>1</v>
      </c>
      <c r="BC17" s="338">
        <f t="shared" si="50"/>
        <v>8.3333333333333329E-2</v>
      </c>
      <c r="BD17" s="413"/>
      <c r="BE17" s="413"/>
      <c r="BF17" s="416"/>
      <c r="BG17" s="417"/>
      <c r="BH17" s="417"/>
      <c r="BI17" s="419"/>
    </row>
    <row r="18" spans="1:61" ht="46.5" x14ac:dyDescent="0.25">
      <c r="A18" s="2"/>
      <c r="B18" s="519" t="s">
        <v>289</v>
      </c>
      <c r="C18" s="519"/>
      <c r="D18" s="519"/>
      <c r="E18" s="519"/>
      <c r="F18" s="519"/>
      <c r="G18" s="519"/>
      <c r="H18" s="519"/>
      <c r="I18" s="519"/>
      <c r="J18" s="519"/>
      <c r="K18" s="519"/>
      <c r="L18" s="519"/>
      <c r="M18" s="519"/>
      <c r="N18" s="519"/>
      <c r="O18" s="519"/>
      <c r="P18" s="519"/>
    </row>
    <row r="19" spans="1:61" ht="30" customHeight="1" x14ac:dyDescent="0.25">
      <c r="A19" s="26"/>
      <c r="B19" s="520">
        <v>2021</v>
      </c>
      <c r="C19" s="520"/>
      <c r="D19" s="521"/>
      <c r="E19" s="522">
        <v>2022</v>
      </c>
      <c r="F19" s="520"/>
      <c r="G19" s="521"/>
      <c r="H19" s="522">
        <v>2023</v>
      </c>
      <c r="I19" s="520"/>
      <c r="J19" s="521"/>
      <c r="K19" s="522">
        <v>2024</v>
      </c>
      <c r="L19" s="520"/>
      <c r="M19" s="521"/>
      <c r="N19" s="523" t="s">
        <v>2</v>
      </c>
      <c r="O19" s="524"/>
      <c r="P19" s="525"/>
    </row>
    <row r="20" spans="1:61" ht="15.75" x14ac:dyDescent="0.25">
      <c r="A20" s="27"/>
      <c r="B20" s="1" t="s">
        <v>0</v>
      </c>
      <c r="C20" s="1" t="s">
        <v>1</v>
      </c>
      <c r="D20" s="5" t="s">
        <v>25</v>
      </c>
      <c r="E20" s="4" t="s">
        <v>0</v>
      </c>
      <c r="F20" s="1" t="s">
        <v>1</v>
      </c>
      <c r="G20" s="5" t="s">
        <v>25</v>
      </c>
      <c r="H20" s="4" t="s">
        <v>0</v>
      </c>
      <c r="I20" s="1" t="s">
        <v>1</v>
      </c>
      <c r="J20" s="5" t="s">
        <v>25</v>
      </c>
      <c r="K20" s="4" t="s">
        <v>0</v>
      </c>
      <c r="L20" s="1" t="s">
        <v>1</v>
      </c>
      <c r="M20" s="5" t="s">
        <v>25</v>
      </c>
      <c r="N20" s="4" t="s">
        <v>0</v>
      </c>
      <c r="O20" t="s">
        <v>1</v>
      </c>
      <c r="P20" s="5" t="s">
        <v>25</v>
      </c>
      <c r="Q20" s="1"/>
      <c r="S20" s="1"/>
    </row>
    <row r="21" spans="1:61" ht="18" customHeight="1" x14ac:dyDescent="0.25">
      <c r="A21" s="23" t="s">
        <v>276</v>
      </c>
      <c r="B21" s="28">
        <f t="shared" ref="B21:C26" si="51">SUM(B5,Q5,AF5,AU5)</f>
        <v>35</v>
      </c>
      <c r="C21" s="29">
        <f t="shared" si="51"/>
        <v>45</v>
      </c>
      <c r="D21" s="51">
        <f t="shared" ref="D21:D26" si="52">C21/B21</f>
        <v>1.2857142857142858</v>
      </c>
      <c r="E21" s="31">
        <f t="shared" ref="E21:E26" si="53">SUM(E5,Q5,AI5,AX5)</f>
        <v>80</v>
      </c>
      <c r="F21" s="28">
        <f t="shared" ref="F21:F26" si="54">SUM(F5,U5,AJ5,AY5)</f>
        <v>257</v>
      </c>
      <c r="G21" s="51">
        <f t="shared" ref="G21:G26" si="55">F21/E21</f>
        <v>3.2124999999999999</v>
      </c>
      <c r="H21" s="31">
        <f t="shared" ref="H21:I26" si="56">SUM(H5,W5,AL5,BA5)</f>
        <v>155</v>
      </c>
      <c r="I21" s="28">
        <f t="shared" si="56"/>
        <v>173</v>
      </c>
      <c r="J21" s="51">
        <f t="shared" ref="J21:J26" si="57">I21/H21</f>
        <v>1.1161290322580646</v>
      </c>
      <c r="K21" s="31">
        <f t="shared" ref="K21:L26" si="58">SUM(K5,Z5,AO5,BD5)</f>
        <v>65</v>
      </c>
      <c r="L21" s="28">
        <f t="shared" si="58"/>
        <v>0</v>
      </c>
      <c r="M21" s="51">
        <f t="shared" ref="M21:M26" si="59">L21/K21</f>
        <v>0</v>
      </c>
      <c r="N21" s="31">
        <f t="shared" ref="N21:N26" si="60">SUM(N5,AC5,AR5,BG5)</f>
        <v>380</v>
      </c>
      <c r="O21" s="28">
        <f t="shared" ref="O21:O26" si="61">SUM(C21,F21,I21,L21)</f>
        <v>475</v>
      </c>
      <c r="P21" s="51">
        <f>O21/N21</f>
        <v>1.25</v>
      </c>
      <c r="R21" s="198"/>
    </row>
    <row r="22" spans="1:61" ht="18" customHeight="1" x14ac:dyDescent="0.25">
      <c r="A22" s="23" t="s">
        <v>277</v>
      </c>
      <c r="B22" s="28">
        <f t="shared" si="51"/>
        <v>32</v>
      </c>
      <c r="C22" s="29">
        <f t="shared" si="51"/>
        <v>68</v>
      </c>
      <c r="D22" s="51">
        <f t="shared" si="52"/>
        <v>2.125</v>
      </c>
      <c r="E22" s="31">
        <f t="shared" si="53"/>
        <v>90</v>
      </c>
      <c r="F22" s="28">
        <f t="shared" si="54"/>
        <v>191</v>
      </c>
      <c r="G22" s="51">
        <f t="shared" si="55"/>
        <v>2.1222222222222222</v>
      </c>
      <c r="H22" s="31">
        <f t="shared" si="56"/>
        <v>135</v>
      </c>
      <c r="I22" s="28">
        <f t="shared" si="56"/>
        <v>150</v>
      </c>
      <c r="J22" s="51">
        <f t="shared" si="57"/>
        <v>1.1111111111111112</v>
      </c>
      <c r="K22" s="31">
        <f t="shared" si="58"/>
        <v>60</v>
      </c>
      <c r="L22" s="28">
        <f t="shared" si="58"/>
        <v>0</v>
      </c>
      <c r="M22" s="51">
        <f t="shared" si="59"/>
        <v>0</v>
      </c>
      <c r="N22" s="31">
        <f t="shared" si="60"/>
        <v>372</v>
      </c>
      <c r="O22" s="28">
        <f t="shared" si="61"/>
        <v>409</v>
      </c>
      <c r="P22" s="51">
        <f t="shared" ref="P22:P26" si="62">O22/N22</f>
        <v>1.0994623655913978</v>
      </c>
      <c r="R22" s="198"/>
    </row>
    <row r="23" spans="1:61" ht="18" customHeight="1" x14ac:dyDescent="0.25">
      <c r="A23" s="23" t="s">
        <v>272</v>
      </c>
      <c r="B23" s="28">
        <f t="shared" si="51"/>
        <v>23</v>
      </c>
      <c r="C23" s="29">
        <f t="shared" si="51"/>
        <v>41</v>
      </c>
      <c r="D23" s="51">
        <f t="shared" si="52"/>
        <v>1.7826086956521738</v>
      </c>
      <c r="E23" s="31">
        <f t="shared" si="53"/>
        <v>58</v>
      </c>
      <c r="F23" s="28">
        <f t="shared" si="54"/>
        <v>81</v>
      </c>
      <c r="G23" s="51">
        <f t="shared" si="55"/>
        <v>1.396551724137931</v>
      </c>
      <c r="H23" s="31">
        <f t="shared" si="56"/>
        <v>120</v>
      </c>
      <c r="I23" s="28">
        <f t="shared" si="56"/>
        <v>53</v>
      </c>
      <c r="J23" s="51">
        <f t="shared" si="57"/>
        <v>0.44166666666666665</v>
      </c>
      <c r="K23" s="31">
        <f t="shared" si="58"/>
        <v>55</v>
      </c>
      <c r="L23" s="28">
        <f t="shared" si="58"/>
        <v>0</v>
      </c>
      <c r="M23" s="51">
        <f t="shared" si="59"/>
        <v>0</v>
      </c>
      <c r="N23" s="31">
        <f t="shared" si="60"/>
        <v>304</v>
      </c>
      <c r="O23" s="28">
        <f t="shared" si="61"/>
        <v>175</v>
      </c>
      <c r="P23" s="51">
        <f t="shared" si="62"/>
        <v>0.57565789473684215</v>
      </c>
      <c r="R23" s="198"/>
    </row>
    <row r="24" spans="1:61" ht="18" customHeight="1" x14ac:dyDescent="0.25">
      <c r="A24" s="23" t="s">
        <v>273</v>
      </c>
      <c r="B24" s="47">
        <f t="shared" si="51"/>
        <v>23</v>
      </c>
      <c r="C24" s="29">
        <f t="shared" si="51"/>
        <v>30</v>
      </c>
      <c r="D24" s="51">
        <f t="shared" si="52"/>
        <v>1.3043478260869565</v>
      </c>
      <c r="E24" s="31">
        <f t="shared" si="53"/>
        <v>53</v>
      </c>
      <c r="F24" s="28">
        <f t="shared" si="54"/>
        <v>45</v>
      </c>
      <c r="G24" s="51">
        <f t="shared" si="55"/>
        <v>0.84905660377358494</v>
      </c>
      <c r="H24" s="31">
        <f t="shared" si="56"/>
        <v>115</v>
      </c>
      <c r="I24" s="28">
        <f t="shared" si="56"/>
        <v>55</v>
      </c>
      <c r="J24" s="51">
        <f t="shared" si="57"/>
        <v>0.47826086956521741</v>
      </c>
      <c r="K24" s="31">
        <f t="shared" si="58"/>
        <v>55</v>
      </c>
      <c r="L24" s="28">
        <f t="shared" si="58"/>
        <v>0</v>
      </c>
      <c r="M24" s="51">
        <f t="shared" si="59"/>
        <v>0</v>
      </c>
      <c r="N24" s="31">
        <f t="shared" si="60"/>
        <v>294</v>
      </c>
      <c r="O24" s="28">
        <f t="shared" si="61"/>
        <v>130</v>
      </c>
      <c r="P24" s="51">
        <f t="shared" si="62"/>
        <v>0.44217687074829931</v>
      </c>
      <c r="R24" s="198"/>
    </row>
    <row r="25" spans="1:61" ht="18" customHeight="1" x14ac:dyDescent="0.25">
      <c r="A25" s="23" t="s">
        <v>274</v>
      </c>
      <c r="B25" s="47">
        <f t="shared" si="51"/>
        <v>22</v>
      </c>
      <c r="C25" s="29">
        <f t="shared" si="51"/>
        <v>35</v>
      </c>
      <c r="D25" s="51">
        <f t="shared" si="52"/>
        <v>1.5909090909090908</v>
      </c>
      <c r="E25" s="31">
        <f t="shared" si="53"/>
        <v>50</v>
      </c>
      <c r="F25" s="28">
        <f t="shared" si="54"/>
        <v>55</v>
      </c>
      <c r="G25" s="51">
        <f t="shared" si="55"/>
        <v>1.1000000000000001</v>
      </c>
      <c r="H25" s="31">
        <f t="shared" si="56"/>
        <v>86</v>
      </c>
      <c r="I25" s="28">
        <f t="shared" si="56"/>
        <v>22</v>
      </c>
      <c r="J25" s="51">
        <f t="shared" si="57"/>
        <v>0.2558139534883721</v>
      </c>
      <c r="K25" s="31">
        <f t="shared" si="58"/>
        <v>36</v>
      </c>
      <c r="L25" s="28">
        <f t="shared" si="58"/>
        <v>0</v>
      </c>
      <c r="M25" s="51">
        <f t="shared" si="59"/>
        <v>0</v>
      </c>
      <c r="N25" s="31">
        <f t="shared" si="60"/>
        <v>232</v>
      </c>
      <c r="O25" s="28">
        <f t="shared" si="61"/>
        <v>112</v>
      </c>
      <c r="P25" s="51">
        <f t="shared" si="62"/>
        <v>0.48275862068965519</v>
      </c>
      <c r="R25" s="198"/>
    </row>
    <row r="26" spans="1:61" ht="18" customHeight="1" x14ac:dyDescent="0.25">
      <c r="A26" s="23" t="s">
        <v>275</v>
      </c>
      <c r="B26" s="48">
        <f t="shared" si="51"/>
        <v>19</v>
      </c>
      <c r="C26" s="49">
        <f t="shared" si="51"/>
        <v>7</v>
      </c>
      <c r="D26" s="52">
        <f t="shared" si="52"/>
        <v>0.36842105263157893</v>
      </c>
      <c r="E26" s="50">
        <f t="shared" si="53"/>
        <v>47</v>
      </c>
      <c r="F26" s="33">
        <f t="shared" si="54"/>
        <v>15</v>
      </c>
      <c r="G26" s="52">
        <f t="shared" si="55"/>
        <v>0.31914893617021278</v>
      </c>
      <c r="H26" s="50">
        <f t="shared" si="56"/>
        <v>68</v>
      </c>
      <c r="I26" s="33">
        <f t="shared" si="56"/>
        <v>17</v>
      </c>
      <c r="J26" s="52">
        <f t="shared" si="57"/>
        <v>0.25</v>
      </c>
      <c r="K26" s="50">
        <f t="shared" si="58"/>
        <v>33</v>
      </c>
      <c r="L26" s="33">
        <f t="shared" si="58"/>
        <v>0</v>
      </c>
      <c r="M26" s="52">
        <f t="shared" si="59"/>
        <v>0</v>
      </c>
      <c r="N26" s="50">
        <f t="shared" si="60"/>
        <v>186</v>
      </c>
      <c r="O26" s="33">
        <f t="shared" si="61"/>
        <v>39</v>
      </c>
      <c r="P26" s="52">
        <f t="shared" si="62"/>
        <v>0.20967741935483872</v>
      </c>
      <c r="R26" s="198"/>
    </row>
    <row r="27" spans="1:61" ht="18" customHeight="1" x14ac:dyDescent="0.25">
      <c r="A27" s="341" t="s">
        <v>229</v>
      </c>
      <c r="B27" s="350"/>
      <c r="C27" s="351"/>
      <c r="D27" s="352"/>
      <c r="E27" s="1" t="s">
        <v>0</v>
      </c>
      <c r="F27" s="1" t="s">
        <v>1</v>
      </c>
      <c r="G27" s="5" t="s">
        <v>25</v>
      </c>
      <c r="H27" s="1" t="s">
        <v>0</v>
      </c>
      <c r="I27" s="1" t="s">
        <v>1</v>
      </c>
      <c r="J27" s="5" t="s">
        <v>25</v>
      </c>
      <c r="K27" s="353"/>
      <c r="L27" s="353"/>
      <c r="M27" s="354"/>
      <c r="N27" s="350"/>
      <c r="O27" s="350"/>
      <c r="P27" s="352"/>
      <c r="R27" s="198"/>
    </row>
    <row r="28" spans="1:61" ht="18" customHeight="1" x14ac:dyDescent="0.25">
      <c r="A28" s="342" t="s">
        <v>230</v>
      </c>
      <c r="B28" s="350"/>
      <c r="C28" s="351"/>
      <c r="D28" s="352"/>
      <c r="E28" s="28">
        <f>SUM(B21,E21)</f>
        <v>115</v>
      </c>
      <c r="F28" s="28">
        <f>SUM(C21,F21)</f>
        <v>302</v>
      </c>
      <c r="G28" s="324">
        <f>F28/E28</f>
        <v>2.6260869565217391</v>
      </c>
      <c r="H28" s="28">
        <f>SUM(E28,H21)</f>
        <v>270</v>
      </c>
      <c r="I28" s="28">
        <f>SUM(F28,I21)</f>
        <v>475</v>
      </c>
      <c r="J28" s="324">
        <f>I28/H28</f>
        <v>1.7592592592592593</v>
      </c>
      <c r="K28" s="350"/>
      <c r="L28" s="350"/>
      <c r="M28" s="352"/>
      <c r="N28" s="350"/>
      <c r="O28" s="350"/>
      <c r="P28" s="352"/>
      <c r="R28" s="198"/>
    </row>
    <row r="29" spans="1:61" ht="18" customHeight="1" x14ac:dyDescent="0.25">
      <c r="A29" s="342" t="s">
        <v>231</v>
      </c>
      <c r="B29" s="350"/>
      <c r="C29" s="351"/>
      <c r="D29" s="352"/>
      <c r="E29" s="28">
        <f t="shared" ref="E29:E33" si="63">SUM(B22,E22)</f>
        <v>122</v>
      </c>
      <c r="F29" s="28">
        <f t="shared" ref="F29:F33" si="64">SUM(C22,F22)</f>
        <v>259</v>
      </c>
      <c r="G29" s="324">
        <f t="shared" ref="G29:G33" si="65">F29/E29</f>
        <v>2.122950819672131</v>
      </c>
      <c r="H29" s="28">
        <f t="shared" ref="H29:H33" si="66">SUM(E29,H22)</f>
        <v>257</v>
      </c>
      <c r="I29" s="28">
        <f t="shared" ref="I29:I33" si="67">SUM(F29,I22)</f>
        <v>409</v>
      </c>
      <c r="J29" s="324">
        <f t="shared" ref="J29:J33" si="68">I29/H29</f>
        <v>1.5914396887159532</v>
      </c>
      <c r="K29" s="350"/>
      <c r="L29" s="350"/>
      <c r="M29" s="352"/>
      <c r="N29" s="350"/>
      <c r="O29" s="350"/>
      <c r="P29" s="352"/>
      <c r="R29" s="198"/>
    </row>
    <row r="30" spans="1:61" ht="18" customHeight="1" x14ac:dyDescent="0.25">
      <c r="A30" s="342" t="s">
        <v>232</v>
      </c>
      <c r="B30" s="350"/>
      <c r="C30" s="351"/>
      <c r="D30" s="352"/>
      <c r="E30" s="28">
        <f t="shared" si="63"/>
        <v>81</v>
      </c>
      <c r="F30" s="28">
        <f t="shared" si="64"/>
        <v>122</v>
      </c>
      <c r="G30" s="324">
        <f t="shared" si="65"/>
        <v>1.5061728395061729</v>
      </c>
      <c r="H30" s="28">
        <f t="shared" si="66"/>
        <v>201</v>
      </c>
      <c r="I30" s="28">
        <f t="shared" si="67"/>
        <v>175</v>
      </c>
      <c r="J30" s="324">
        <f t="shared" si="68"/>
        <v>0.87064676616915426</v>
      </c>
      <c r="K30" s="350"/>
      <c r="L30" s="350"/>
      <c r="M30" s="352"/>
      <c r="N30" s="350"/>
      <c r="O30" s="350"/>
      <c r="P30" s="352"/>
      <c r="R30" s="198"/>
    </row>
    <row r="31" spans="1:61" ht="18" customHeight="1" x14ac:dyDescent="0.25">
      <c r="A31" s="349"/>
      <c r="B31" s="350"/>
      <c r="C31" s="351"/>
      <c r="D31" s="352"/>
      <c r="E31" s="28">
        <f t="shared" si="63"/>
        <v>76</v>
      </c>
      <c r="F31" s="28">
        <f t="shared" si="64"/>
        <v>75</v>
      </c>
      <c r="G31" s="324">
        <f t="shared" si="65"/>
        <v>0.98684210526315785</v>
      </c>
      <c r="H31" s="28">
        <f t="shared" si="66"/>
        <v>191</v>
      </c>
      <c r="I31" s="28">
        <f t="shared" si="67"/>
        <v>130</v>
      </c>
      <c r="J31" s="324">
        <f t="shared" si="68"/>
        <v>0.68062827225130895</v>
      </c>
      <c r="K31" s="350"/>
      <c r="L31" s="350"/>
      <c r="M31" s="352"/>
      <c r="N31" s="350"/>
      <c r="O31" s="350"/>
      <c r="P31" s="352"/>
      <c r="R31" s="198"/>
    </row>
    <row r="32" spans="1:61" ht="18" customHeight="1" x14ac:dyDescent="0.25">
      <c r="A32" s="349"/>
      <c r="B32" s="350"/>
      <c r="C32" s="351"/>
      <c r="D32" s="352"/>
      <c r="E32" s="28">
        <f t="shared" si="63"/>
        <v>72</v>
      </c>
      <c r="F32" s="28">
        <f t="shared" si="64"/>
        <v>90</v>
      </c>
      <c r="G32" s="324">
        <f t="shared" si="65"/>
        <v>1.25</v>
      </c>
      <c r="H32" s="28">
        <f t="shared" si="66"/>
        <v>158</v>
      </c>
      <c r="I32" s="28">
        <f t="shared" si="67"/>
        <v>112</v>
      </c>
      <c r="J32" s="324">
        <f t="shared" si="68"/>
        <v>0.70886075949367089</v>
      </c>
      <c r="K32" s="350"/>
      <c r="L32" s="350"/>
      <c r="M32" s="352"/>
      <c r="N32" s="350"/>
      <c r="O32" s="350"/>
      <c r="P32" s="352"/>
      <c r="R32" s="198"/>
    </row>
    <row r="33" spans="1:16" ht="15.75" x14ac:dyDescent="0.25">
      <c r="A33" s="27"/>
      <c r="B33" s="355"/>
      <c r="C33" s="355"/>
      <c r="D33" s="356"/>
      <c r="E33" s="28">
        <f t="shared" si="63"/>
        <v>66</v>
      </c>
      <c r="F33" s="28">
        <f t="shared" si="64"/>
        <v>22</v>
      </c>
      <c r="G33" s="324">
        <f t="shared" si="65"/>
        <v>0.33333333333333331</v>
      </c>
      <c r="H33" s="28">
        <f t="shared" si="66"/>
        <v>134</v>
      </c>
      <c r="I33" s="28">
        <f t="shared" si="67"/>
        <v>39</v>
      </c>
      <c r="J33" s="324">
        <f t="shared" si="68"/>
        <v>0.29104477611940299</v>
      </c>
      <c r="K33" s="357"/>
      <c r="L33" s="357"/>
      <c r="M33" s="357"/>
      <c r="N33" s="357"/>
      <c r="O33" s="357"/>
      <c r="P33" s="357"/>
    </row>
  </sheetData>
  <mergeCells count="35">
    <mergeCell ref="AU2:BI2"/>
    <mergeCell ref="B3:D3"/>
    <mergeCell ref="E3:G3"/>
    <mergeCell ref="H3:J3"/>
    <mergeCell ref="K3:M3"/>
    <mergeCell ref="N3:P3"/>
    <mergeCell ref="AF3:AH3"/>
    <mergeCell ref="BA3:BC3"/>
    <mergeCell ref="BD3:BF3"/>
    <mergeCell ref="BG3:BI3"/>
    <mergeCell ref="AU3:AW3"/>
    <mergeCell ref="AX3:AZ3"/>
    <mergeCell ref="B1:O1"/>
    <mergeCell ref="B2:P2"/>
    <mergeCell ref="Q2:AE2"/>
    <mergeCell ref="AF2:AT2"/>
    <mergeCell ref="Q3:S3"/>
    <mergeCell ref="T3:V3"/>
    <mergeCell ref="W3:Y3"/>
    <mergeCell ref="Z3:AB3"/>
    <mergeCell ref="AC3:AE3"/>
    <mergeCell ref="AI3:AK3"/>
    <mergeCell ref="AL3:AN3"/>
    <mergeCell ref="AO3:AQ3"/>
    <mergeCell ref="AR3:AT3"/>
    <mergeCell ref="B19:D19"/>
    <mergeCell ref="E19:G19"/>
    <mergeCell ref="H19:J19"/>
    <mergeCell ref="K19:M19"/>
    <mergeCell ref="N19:P19"/>
    <mergeCell ref="K11:N11"/>
    <mergeCell ref="Z11:AC11"/>
    <mergeCell ref="AO11:AR11"/>
    <mergeCell ref="BD11:BG11"/>
    <mergeCell ref="B18:P18"/>
  </mergeCells>
  <conditionalFormatting sqref="D5:D10">
    <cfRule type="colorScale" priority="92">
      <colorScale>
        <cfvo type="percent" val="0-49"/>
        <cfvo type="percent" val="&quot;50-90&quot;"/>
        <cfvo type="percent" val="&quot;&gt;90&quot;"/>
        <color rgb="FFFF9F9F"/>
        <color theme="7" tint="0.79998168889431442"/>
        <color theme="9" tint="0.79998168889431442"/>
      </colorScale>
    </cfRule>
    <cfRule type="cellIs" dxfId="41" priority="89" operator="between">
      <formula>0.5</formula>
      <formula>0.89</formula>
    </cfRule>
    <cfRule type="cellIs" dxfId="40" priority="90" operator="lessThan">
      <formula>0.5</formula>
    </cfRule>
    <cfRule type="cellIs" dxfId="39" priority="91" operator="greaterThan">
      <formula>0.9</formula>
    </cfRule>
  </conditionalFormatting>
  <conditionalFormatting sqref="G5:G10 J5:J10 M5:M10 P5:P10 G12:G17 J12:J17">
    <cfRule type="cellIs" dxfId="38" priority="86" operator="between">
      <formula>0.51</formula>
      <formula>0.89</formula>
    </cfRule>
    <cfRule type="cellIs" dxfId="37" priority="87" operator="greaterThan">
      <formula>89%</formula>
    </cfRule>
    <cfRule type="cellIs" dxfId="36" priority="88" operator="lessThan">
      <formula>0.5</formula>
    </cfRule>
  </conditionalFormatting>
  <conditionalFormatting sqref="S5:S10 D21:D26 G21:G26 J21:J26 M21:M26 P21:P26 G28:G33 J28:J33">
    <cfRule type="cellIs" dxfId="35" priority="55" operator="between">
      <formula>0.51</formula>
      <formula>0.89</formula>
    </cfRule>
    <cfRule type="cellIs" dxfId="34" priority="56" operator="greaterThan">
      <formula>89%</formula>
    </cfRule>
    <cfRule type="cellIs" dxfId="33" priority="57" operator="lessThan">
      <formula>0.5</formula>
    </cfRule>
  </conditionalFormatting>
  <conditionalFormatting sqref="V5:V10 Y5:Y10 AB5:AB10 AE5:AE10">
    <cfRule type="cellIs" dxfId="32" priority="79" operator="between">
      <formula>51</formula>
      <formula>90</formula>
    </cfRule>
    <cfRule type="cellIs" dxfId="31" priority="80" operator="greaterThan">
      <formula>89</formula>
    </cfRule>
    <cfRule type="cellIs" dxfId="30" priority="81" operator="lessThan">
      <formula>50</formula>
    </cfRule>
  </conditionalFormatting>
  <conditionalFormatting sqref="V12:V17 Y12:Y17">
    <cfRule type="cellIs" dxfId="29" priority="7" operator="between">
      <formula>0.51</formula>
      <formula>0.89</formula>
    </cfRule>
    <cfRule type="cellIs" dxfId="28" priority="8" operator="greaterThan">
      <formula>89%</formula>
    </cfRule>
    <cfRule type="cellIs" dxfId="27" priority="9" operator="lessThan">
      <formula>0.5</formula>
    </cfRule>
  </conditionalFormatting>
  <conditionalFormatting sqref="AH5:AH10">
    <cfRule type="cellIs" dxfId="26" priority="76" operator="lessThan">
      <formula>0.5</formula>
    </cfRule>
    <cfRule type="cellIs" dxfId="25" priority="75" operator="between">
      <formula>0.5</formula>
      <formula>0.89</formula>
    </cfRule>
    <cfRule type="cellIs" dxfId="24" priority="77" operator="greaterThan">
      <formula>0.9</formula>
    </cfRule>
    <cfRule type="colorScale" priority="78">
      <colorScale>
        <cfvo type="percent" val="0-49"/>
        <cfvo type="percent" val="&quot;50-90&quot;"/>
        <cfvo type="percent" val="&quot;&gt;90&quot;"/>
        <color rgb="FFFF9F9F"/>
        <color theme="7" tint="0.79998168889431442"/>
        <color theme="9" tint="0.79998168889431442"/>
      </colorScale>
    </cfRule>
  </conditionalFormatting>
  <conditionalFormatting sqref="AK5:AK10 AN5:AN10 AQ5:AQ10 AT5:AT10">
    <cfRule type="cellIs" dxfId="23" priority="74" operator="lessThan">
      <formula>50</formula>
    </cfRule>
    <cfRule type="cellIs" dxfId="22" priority="73" operator="greaterThan">
      <formula>89</formula>
    </cfRule>
    <cfRule type="cellIs" dxfId="21" priority="72" operator="between">
      <formula>51</formula>
      <formula>90</formula>
    </cfRule>
  </conditionalFormatting>
  <conditionalFormatting sqref="AK12:AK17 AN12:AN17">
    <cfRule type="cellIs" dxfId="20" priority="4" operator="between">
      <formula>0.51</formula>
      <formula>0.89</formula>
    </cfRule>
    <cfRule type="cellIs" dxfId="19" priority="5" operator="greaterThan">
      <formula>89%</formula>
    </cfRule>
    <cfRule type="cellIs" dxfId="18" priority="6" operator="lessThan">
      <formula>0.5</formula>
    </cfRule>
  </conditionalFormatting>
  <conditionalFormatting sqref="AW5:AW10">
    <cfRule type="colorScale" priority="71">
      <colorScale>
        <cfvo type="percent" val="0-49"/>
        <cfvo type="percent" val="&quot;50-90&quot;"/>
        <cfvo type="percent" val="&quot;&gt;90&quot;"/>
        <color rgb="FFFF9F9F"/>
        <color theme="7" tint="0.79998168889431442"/>
        <color theme="9" tint="0.79998168889431442"/>
      </colorScale>
    </cfRule>
    <cfRule type="cellIs" dxfId="17" priority="68" operator="between">
      <formula>0.5</formula>
      <formula>0.89</formula>
    </cfRule>
    <cfRule type="cellIs" dxfId="16" priority="69" operator="lessThan">
      <formula>0.5</formula>
    </cfRule>
    <cfRule type="cellIs" dxfId="15" priority="70" operator="greaterThan">
      <formula>0.9</formula>
    </cfRule>
  </conditionalFormatting>
  <conditionalFormatting sqref="AZ5:AZ10 BC5:BC10 BF5:BF10 BI5:BI10">
    <cfRule type="cellIs" dxfId="14" priority="66" operator="greaterThan">
      <formula>89</formula>
    </cfRule>
    <cfRule type="cellIs" dxfId="13" priority="65" operator="between">
      <formula>51</formula>
      <formula>90</formula>
    </cfRule>
    <cfRule type="cellIs" dxfId="12" priority="67" operator="lessThan">
      <formula>50</formula>
    </cfRule>
  </conditionalFormatting>
  <conditionalFormatting sqref="AZ12:AZ17 BC12:BC17">
    <cfRule type="cellIs" dxfId="11" priority="3" operator="lessThan">
      <formula>0.5</formula>
    </cfRule>
    <cfRule type="cellIs" dxfId="10" priority="2" operator="greaterThan">
      <formula>89%</formula>
    </cfRule>
    <cfRule type="cellIs" dxfId="9" priority="1" operator="between">
      <formula>0.51</formula>
      <formula>0.89</formula>
    </cfRule>
  </conditionalFormatting>
  <pageMargins left="0.7" right="0.7" top="0.75" bottom="0.75" header="0.3" footer="0.3"/>
  <pageSetup orientation="portrait" horizontalDpi="204" verticalDpi="1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A893-02C3-4E78-8D30-07F19F0B76D5}">
  <sheetPr>
    <tabColor rgb="FF00B050"/>
  </sheetPr>
  <dimension ref="A1:U75"/>
  <sheetViews>
    <sheetView showGridLines="0" topLeftCell="A8" zoomScaleNormal="100" workbookViewId="0">
      <selection activeCell="A16" sqref="A16:XFD16"/>
    </sheetView>
  </sheetViews>
  <sheetFormatPr defaultRowHeight="15" x14ac:dyDescent="0.25"/>
  <cols>
    <col min="1" max="1" width="18.85546875" customWidth="1"/>
    <col min="2" max="3" width="19.5703125" customWidth="1"/>
    <col min="4" max="9" width="16.7109375" customWidth="1"/>
    <col min="10" max="10" width="18.5703125" customWidth="1"/>
    <col min="11" max="15" width="16.7109375" customWidth="1"/>
    <col min="16" max="16" width="21.28515625" customWidth="1"/>
  </cols>
  <sheetData>
    <row r="1" spans="1:21" ht="60" customHeight="1" x14ac:dyDescent="0.9">
      <c r="A1" s="531" t="s">
        <v>26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1"/>
      <c r="P1" s="531"/>
    </row>
    <row r="2" spans="1:21" ht="41.25" customHeight="1" x14ac:dyDescent="0.7">
      <c r="A2" s="532"/>
      <c r="B2" s="532"/>
      <c r="C2" s="532"/>
      <c r="D2" s="532"/>
      <c r="E2" s="548" t="s">
        <v>93</v>
      </c>
      <c r="F2" s="549"/>
      <c r="G2" s="168">
        <f>M11</f>
        <v>217500</v>
      </c>
      <c r="H2" s="548" t="s">
        <v>94</v>
      </c>
      <c r="I2" s="549"/>
      <c r="J2" s="169">
        <f>E12</f>
        <v>1055443.8600000001</v>
      </c>
      <c r="K2" s="197"/>
      <c r="L2" s="197"/>
      <c r="M2" s="197"/>
      <c r="N2" s="197"/>
      <c r="O2" s="197"/>
      <c r="P2" s="376"/>
      <c r="Q2" s="2"/>
      <c r="R2" s="2"/>
      <c r="S2" s="2"/>
      <c r="T2" s="2"/>
      <c r="U2" s="2"/>
    </row>
    <row r="3" spans="1:21" s="2" customFormat="1" ht="15.75" customHeight="1" x14ac:dyDescent="0.7">
      <c r="A3" s="209"/>
      <c r="B3" s="209"/>
      <c r="C3" s="209"/>
      <c r="D3" s="209"/>
      <c r="E3" s="210"/>
      <c r="F3" s="210"/>
      <c r="G3" s="211"/>
      <c r="H3" s="210"/>
      <c r="I3" s="210"/>
      <c r="J3" s="212"/>
      <c r="K3" s="197"/>
      <c r="L3" s="197"/>
      <c r="M3" s="197"/>
      <c r="N3" s="197"/>
      <c r="O3" s="197"/>
      <c r="P3" s="197"/>
    </row>
    <row r="4" spans="1:21" s="2" customFormat="1" ht="15.75" customHeight="1" thickBot="1" x14ac:dyDescent="0.75">
      <c r="A4" s="209"/>
      <c r="B4" s="209"/>
      <c r="C4" s="209"/>
      <c r="D4" s="209"/>
      <c r="E4" s="210"/>
      <c r="F4" s="210"/>
      <c r="G4" s="211"/>
      <c r="H4" s="210"/>
      <c r="I4" s="210"/>
      <c r="J4" s="212"/>
      <c r="K4" s="462"/>
      <c r="L4" s="197"/>
      <c r="M4" s="197"/>
      <c r="N4" s="197"/>
      <c r="O4" s="287"/>
      <c r="P4" s="287"/>
    </row>
    <row r="5" spans="1:21" s="2" customFormat="1" ht="15.75" customHeight="1" x14ac:dyDescent="0.7">
      <c r="A5" s="209"/>
      <c r="B5" s="209"/>
      <c r="C5" s="209"/>
      <c r="D5" s="554" t="s">
        <v>177</v>
      </c>
      <c r="E5" s="555"/>
      <c r="F5" s="555"/>
      <c r="G5" s="555"/>
      <c r="H5" s="555"/>
      <c r="I5" s="555"/>
      <c r="J5" s="318"/>
      <c r="K5" s="551" t="s">
        <v>181</v>
      </c>
      <c r="L5" s="552"/>
      <c r="M5" s="552"/>
      <c r="N5" s="553"/>
      <c r="O5" s="287"/>
      <c r="P5" s="287"/>
    </row>
    <row r="6" spans="1:21" s="2" customFormat="1" ht="15.75" customHeight="1" x14ac:dyDescent="0.7">
      <c r="A6" s="209"/>
      <c r="B6" s="209"/>
      <c r="C6" s="209"/>
      <c r="D6" s="213"/>
      <c r="E6" s="452" t="s">
        <v>105</v>
      </c>
      <c r="F6" s="452" t="s">
        <v>180</v>
      </c>
      <c r="G6" s="452" t="s">
        <v>104</v>
      </c>
      <c r="H6" s="452" t="s">
        <v>72</v>
      </c>
      <c r="I6" s="452" t="s">
        <v>226</v>
      </c>
      <c r="J6" s="320" t="s">
        <v>227</v>
      </c>
      <c r="K6" s="213"/>
      <c r="L6" s="453" t="s">
        <v>103</v>
      </c>
      <c r="M6" s="453" t="s">
        <v>172</v>
      </c>
      <c r="N6" s="214" t="s">
        <v>176</v>
      </c>
      <c r="O6" s="287"/>
      <c r="P6" s="456"/>
      <c r="Q6" s="456"/>
    </row>
    <row r="7" spans="1:21" s="2" customFormat="1" ht="15.75" customHeight="1" x14ac:dyDescent="0.7">
      <c r="A7" s="209"/>
      <c r="B7" s="209"/>
      <c r="C7" s="209"/>
      <c r="D7" s="216" t="s">
        <v>95</v>
      </c>
      <c r="E7" s="450">
        <f>'SOM Budget'!C5</f>
        <v>200000</v>
      </c>
      <c r="F7" s="447">
        <f>2500000-F12</f>
        <v>1079900</v>
      </c>
      <c r="G7" s="448" t="s">
        <v>36</v>
      </c>
      <c r="H7" s="449">
        <f t="shared" ref="H7:H12" si="0">E7/F7</f>
        <v>0.18520233354940271</v>
      </c>
      <c r="I7" s="400"/>
      <c r="J7" s="321"/>
      <c r="K7" s="217" t="s">
        <v>264</v>
      </c>
      <c r="L7" s="451">
        <f ca="1">SUMIF('MARS Draw Plus'!$A$30:$F$229,"UPWARD Talent Council",'MARS Draw Plus'!$D$30:$D$229)</f>
        <v>0</v>
      </c>
      <c r="M7" s="451">
        <f>EDB!F3</f>
        <v>50000</v>
      </c>
      <c r="N7" s="459">
        <f>EDB!$J$6</f>
        <v>0</v>
      </c>
      <c r="O7" s="457"/>
      <c r="P7" s="454"/>
      <c r="Q7" s="455"/>
    </row>
    <row r="8" spans="1:21" s="2" customFormat="1" ht="15.75" customHeight="1" x14ac:dyDescent="0.7">
      <c r="A8" s="209"/>
      <c r="B8" s="209"/>
      <c r="C8" s="209"/>
      <c r="D8" s="217" t="s">
        <v>264</v>
      </c>
      <c r="E8" s="450">
        <f>'Partner 1 Data'!C66</f>
        <v>179301.95</v>
      </c>
      <c r="F8" s="450">
        <f>EDB!E3</f>
        <v>400000</v>
      </c>
      <c r="G8" s="450">
        <f>M8-E8</f>
        <v>-134301.95000000001</v>
      </c>
      <c r="H8" s="449">
        <f t="shared" si="0"/>
        <v>0.44825487500000005</v>
      </c>
      <c r="I8" s="451">
        <f>'Partner 1 Data'!C81</f>
        <v>52080.81</v>
      </c>
      <c r="J8" s="321">
        <f>'Partner 1 Data'!C81</f>
        <v>52080.81</v>
      </c>
      <c r="K8" s="218" t="s">
        <v>263</v>
      </c>
      <c r="L8" s="451">
        <f ca="1">SUMIF('MARS Draw Plus'!$A$30:$F$229,"Area Community Services Employment &amp; Training Coun",'MARS Draw Plus'!$D$30:$D$229)</f>
        <v>0</v>
      </c>
      <c r="M8" s="451">
        <f>EDB!F4</f>
        <v>45000</v>
      </c>
      <c r="N8" s="459">
        <f>EDB!$J$3</f>
        <v>0</v>
      </c>
      <c r="O8" s="457"/>
      <c r="P8" s="454"/>
      <c r="Q8" s="455"/>
    </row>
    <row r="9" spans="1:21" s="2" customFormat="1" ht="15.75" customHeight="1" x14ac:dyDescent="0.7">
      <c r="A9" s="209"/>
      <c r="B9" s="209"/>
      <c r="C9" s="209"/>
      <c r="D9" s="218" t="s">
        <v>263</v>
      </c>
      <c r="E9" s="450">
        <f>'Partner 3 Data'!C66</f>
        <v>268855.08</v>
      </c>
      <c r="F9" s="450">
        <f>EDB!E4</f>
        <v>400100</v>
      </c>
      <c r="G9" s="450">
        <f>M9-E9</f>
        <v>-170855.08000000002</v>
      </c>
      <c r="H9" s="449">
        <f t="shared" si="0"/>
        <v>0.67196970757310681</v>
      </c>
      <c r="I9" s="451">
        <f>'Partner 3 Data'!C81</f>
        <v>42423.65</v>
      </c>
      <c r="J9" s="321">
        <f>'Partner 2 Data'!C81</f>
        <v>67138.34</v>
      </c>
      <c r="K9" s="219" t="s">
        <v>262</v>
      </c>
      <c r="L9" s="451">
        <f ca="1">SUMIF('MARS Draw Plus'!$A$30:$F$229,"Southeast Michigan Community Alliance (SEMCA)",'MARS Draw Plus'!$D$30:$D$229)</f>
        <v>0</v>
      </c>
      <c r="M9" s="451">
        <f>EDB!F5</f>
        <v>98000</v>
      </c>
      <c r="N9" s="459">
        <f>EDB!$J$5</f>
        <v>0</v>
      </c>
      <c r="O9" s="457"/>
      <c r="P9" s="454"/>
      <c r="Q9" s="455"/>
    </row>
    <row r="10" spans="1:21" s="2" customFormat="1" ht="15.75" customHeight="1" x14ac:dyDescent="0.7">
      <c r="A10" s="209"/>
      <c r="B10" s="209"/>
      <c r="C10" s="209"/>
      <c r="D10" s="219" t="s">
        <v>262</v>
      </c>
      <c r="E10" s="450">
        <f>'Partner 4 Data'!C66</f>
        <v>140187</v>
      </c>
      <c r="F10" s="450">
        <f>EDB!E5</f>
        <v>380000</v>
      </c>
      <c r="G10" s="450">
        <f>M10-E10</f>
        <v>-115687</v>
      </c>
      <c r="H10" s="449">
        <f t="shared" si="0"/>
        <v>0.36891315789473683</v>
      </c>
      <c r="I10" s="451">
        <f>'Partner 4 Data'!C81</f>
        <v>0</v>
      </c>
      <c r="J10" s="321">
        <f>'Partner 3 Data'!C81</f>
        <v>42423.65</v>
      </c>
      <c r="K10" s="220" t="s">
        <v>265</v>
      </c>
      <c r="L10" s="451">
        <f ca="1">SUMIF('MARS Draw Plus'!$A$30:$F$229,"Northeast MI Consortium",'MARS Draw Plus'!$D$30:$D$229)</f>
        <v>0</v>
      </c>
      <c r="M10" s="451">
        <f>EDB!F6</f>
        <v>24500</v>
      </c>
      <c r="N10" s="459">
        <f>EDB!$J$4</f>
        <v>0</v>
      </c>
      <c r="O10" s="458"/>
      <c r="P10" s="454"/>
      <c r="Q10" s="455"/>
    </row>
    <row r="11" spans="1:21" s="2" customFormat="1" ht="15.75" customHeight="1" thickBot="1" x14ac:dyDescent="0.75">
      <c r="A11" s="209"/>
      <c r="B11" s="265"/>
      <c r="C11" s="209"/>
      <c r="D11" s="220" t="s">
        <v>265</v>
      </c>
      <c r="E11" s="450">
        <f>'Partner 2 Data'!C66</f>
        <v>267099.83</v>
      </c>
      <c r="F11" s="450">
        <f>EDB!E6</f>
        <v>240000</v>
      </c>
      <c r="G11" s="450">
        <f>M11-E11</f>
        <v>-49599.830000000016</v>
      </c>
      <c r="H11" s="449">
        <f t="shared" si="0"/>
        <v>1.1129159583333335</v>
      </c>
      <c r="I11" s="451">
        <f>'Partner 2 Data'!C81</f>
        <v>67138.34</v>
      </c>
      <c r="J11" s="321">
        <f>'Partner 4 Data'!C81</f>
        <v>0</v>
      </c>
      <c r="K11" s="460" t="s">
        <v>96</v>
      </c>
      <c r="L11" s="225">
        <f ca="1">SUM(L7:L10)</f>
        <v>0</v>
      </c>
      <c r="M11" s="225">
        <f t="shared" ref="M11:N11" si="1">SUM(M7:M10)</f>
        <v>217500</v>
      </c>
      <c r="N11" s="461">
        <f t="shared" si="1"/>
        <v>0</v>
      </c>
      <c r="O11" s="197"/>
    </row>
    <row r="12" spans="1:21" s="2" customFormat="1" ht="15.75" customHeight="1" thickBot="1" x14ac:dyDescent="0.75">
      <c r="A12" s="209"/>
      <c r="B12" s="209"/>
      <c r="C12" s="209"/>
      <c r="D12" s="221" t="s">
        <v>96</v>
      </c>
      <c r="E12" s="445">
        <f>SUM(E7:E11)</f>
        <v>1055443.8600000001</v>
      </c>
      <c r="F12" s="445">
        <f>SUM(F8:F11)</f>
        <v>1420100</v>
      </c>
      <c r="G12" s="445">
        <f>SUM(G8:G11)</f>
        <v>-470443.86000000004</v>
      </c>
      <c r="H12" s="446">
        <f t="shared" si="0"/>
        <v>0.74321798464896849</v>
      </c>
      <c r="I12" s="322">
        <f>SUM(I7:I11)</f>
        <v>161642.79999999999</v>
      </c>
      <c r="J12" s="319">
        <f>SUM(J7:J11)</f>
        <v>161642.79999999999</v>
      </c>
      <c r="K12" s="197"/>
      <c r="L12" s="197"/>
      <c r="M12" s="197"/>
      <c r="N12" s="197"/>
      <c r="O12" s="197"/>
      <c r="P12" s="197"/>
    </row>
    <row r="13" spans="1:21" s="2" customFormat="1" ht="15.75" customHeight="1" thickBot="1" x14ac:dyDescent="0.75">
      <c r="A13" s="209"/>
      <c r="B13" s="209"/>
      <c r="C13" s="209"/>
      <c r="D13" s="209"/>
      <c r="E13" s="210"/>
      <c r="F13" s="210"/>
      <c r="G13" s="211"/>
      <c r="H13" s="210"/>
      <c r="I13" s="210"/>
      <c r="J13" s="212"/>
      <c r="K13" s="197"/>
      <c r="L13" s="197"/>
      <c r="M13" s="485" t="s">
        <v>184</v>
      </c>
      <c r="N13" s="486" t="s">
        <v>271</v>
      </c>
      <c r="O13" s="486" t="s">
        <v>95</v>
      </c>
      <c r="P13" s="487" t="s">
        <v>183</v>
      </c>
    </row>
    <row r="14" spans="1:21" s="2" customFormat="1" ht="15.75" customHeight="1" x14ac:dyDescent="0.7">
      <c r="A14" s="209"/>
      <c r="B14" s="209"/>
      <c r="C14" s="209"/>
      <c r="D14" s="556" t="s">
        <v>178</v>
      </c>
      <c r="E14" s="557"/>
      <c r="F14" s="557"/>
      <c r="G14" s="557"/>
      <c r="H14" s="558"/>
      <c r="I14" s="210"/>
      <c r="J14" s="212"/>
      <c r="K14" s="377"/>
      <c r="L14" s="197"/>
      <c r="M14" s="488" t="s">
        <v>1</v>
      </c>
      <c r="N14" s="489">
        <f>M11</f>
        <v>217500</v>
      </c>
      <c r="O14" s="490">
        <f>'SOM Budget'!C5</f>
        <v>200000</v>
      </c>
      <c r="P14" s="491">
        <f>E16-(N14+O14)</f>
        <v>1239786.3900000001</v>
      </c>
      <c r="Q14" s="264"/>
    </row>
    <row r="15" spans="1:21" s="2" customFormat="1" ht="15.75" customHeight="1" thickBot="1" x14ac:dyDescent="0.75">
      <c r="A15" s="209"/>
      <c r="B15" s="209"/>
      <c r="C15" s="209"/>
      <c r="D15" s="213" t="s">
        <v>74</v>
      </c>
      <c r="E15" s="222" t="s">
        <v>73</v>
      </c>
      <c r="F15" s="222" t="s">
        <v>285</v>
      </c>
      <c r="G15" s="222" t="s">
        <v>286</v>
      </c>
      <c r="H15" s="215"/>
      <c r="I15" s="210"/>
      <c r="J15" s="212"/>
      <c r="K15" s="197"/>
      <c r="L15" s="197"/>
      <c r="M15" s="492" t="s">
        <v>182</v>
      </c>
      <c r="N15" s="493">
        <f>G16</f>
        <v>878361.78670000006</v>
      </c>
      <c r="O15" s="494">
        <f>F7*0.4</f>
        <v>431960</v>
      </c>
      <c r="P15" s="495">
        <f>E16-(N15+O15)</f>
        <v>346964.60330000008</v>
      </c>
      <c r="Q15" s="263"/>
    </row>
    <row r="16" spans="1:21" s="2" customFormat="1" ht="15.75" customHeight="1" thickBot="1" x14ac:dyDescent="0.75">
      <c r="A16" s="209"/>
      <c r="B16" s="209"/>
      <c r="C16" s="209"/>
      <c r="D16" s="223">
        <f>E12</f>
        <v>1055443.8600000001</v>
      </c>
      <c r="E16" s="224">
        <v>1657286.3900000001</v>
      </c>
      <c r="F16" s="224">
        <f>M11</f>
        <v>217500</v>
      </c>
      <c r="G16" s="224">
        <f>E16*0.53</f>
        <v>878361.78670000006</v>
      </c>
      <c r="H16" s="261"/>
      <c r="I16" s="210"/>
      <c r="J16" s="212"/>
      <c r="K16" s="197"/>
      <c r="L16" s="197"/>
      <c r="M16" s="262"/>
      <c r="N16" s="264"/>
      <c r="O16" s="197"/>
      <c r="P16" s="197"/>
    </row>
    <row r="17" spans="1:21" ht="47.25" thickBot="1" x14ac:dyDescent="0.75">
      <c r="A17" s="203"/>
      <c r="B17" s="550" t="s">
        <v>90</v>
      </c>
      <c r="C17" s="550"/>
      <c r="D17" s="550"/>
      <c r="E17" s="550"/>
      <c r="F17" s="550"/>
      <c r="G17" s="550"/>
      <c r="H17" s="550"/>
      <c r="I17" s="550"/>
      <c r="J17" s="550"/>
      <c r="K17" s="550"/>
      <c r="L17" s="550"/>
      <c r="M17" s="550"/>
      <c r="N17" s="550"/>
      <c r="O17" s="550"/>
      <c r="P17" s="550"/>
      <c r="Q17" s="2"/>
      <c r="R17" s="2"/>
      <c r="S17" s="2"/>
      <c r="T17" s="2"/>
      <c r="U17" s="2"/>
    </row>
    <row r="18" spans="1:21" ht="15" customHeight="1" x14ac:dyDescent="0.25">
      <c r="A18" s="125"/>
      <c r="B18" s="536" t="s">
        <v>30</v>
      </c>
      <c r="C18" s="537"/>
      <c r="D18" s="538"/>
      <c r="E18" s="539" t="s">
        <v>32</v>
      </c>
      <c r="F18" s="540"/>
      <c r="G18" s="541"/>
      <c r="H18" s="542" t="s">
        <v>27</v>
      </c>
      <c r="I18" s="543"/>
      <c r="J18" s="544"/>
      <c r="K18" s="545" t="s">
        <v>28</v>
      </c>
      <c r="L18" s="546"/>
      <c r="M18" s="547"/>
      <c r="N18" s="533" t="s">
        <v>66</v>
      </c>
      <c r="O18" s="534"/>
      <c r="P18" s="535"/>
      <c r="Q18" s="2"/>
      <c r="R18" s="2"/>
      <c r="S18" s="2"/>
      <c r="T18" s="2"/>
      <c r="U18" s="2"/>
    </row>
    <row r="19" spans="1:21" ht="48" thickBot="1" x14ac:dyDescent="0.3">
      <c r="A19" s="230"/>
      <c r="B19" s="231" t="s">
        <v>16</v>
      </c>
      <c r="C19" s="232" t="s">
        <v>34</v>
      </c>
      <c r="D19" s="233" t="s">
        <v>287</v>
      </c>
      <c r="E19" s="34" t="s">
        <v>31</v>
      </c>
      <c r="F19" s="174" t="s">
        <v>89</v>
      </c>
      <c r="G19" s="25" t="s">
        <v>29</v>
      </c>
      <c r="H19" s="34" t="s">
        <v>31</v>
      </c>
      <c r="I19" s="174" t="s">
        <v>89</v>
      </c>
      <c r="J19" s="25" t="s">
        <v>29</v>
      </c>
      <c r="K19" s="34" t="s">
        <v>26</v>
      </c>
      <c r="L19" s="174" t="s">
        <v>89</v>
      </c>
      <c r="M19" s="25" t="s">
        <v>29</v>
      </c>
      <c r="N19" s="231" t="s">
        <v>26</v>
      </c>
      <c r="O19" s="232" t="s">
        <v>89</v>
      </c>
      <c r="P19" s="243" t="s">
        <v>29</v>
      </c>
      <c r="Q19" s="2"/>
      <c r="R19" s="2"/>
      <c r="S19" s="2"/>
      <c r="T19" s="2"/>
      <c r="U19" s="2"/>
    </row>
    <row r="20" spans="1:21" x14ac:dyDescent="0.25">
      <c r="A20" s="463" t="s">
        <v>264</v>
      </c>
      <c r="B20" s="467">
        <f>EDB!E3</f>
        <v>400000</v>
      </c>
      <c r="C20" s="234">
        <f>J8</f>
        <v>52080.81</v>
      </c>
      <c r="D20" s="235">
        <f>B20/15</f>
        <v>26666.666666666668</v>
      </c>
      <c r="E20" s="35">
        <f>'Partner 1 Data'!D82</f>
        <v>0</v>
      </c>
      <c r="F20" s="175">
        <f>'Partner 1 Data'!D81</f>
        <v>0</v>
      </c>
      <c r="G20" s="36">
        <f>E20/D20</f>
        <v>0</v>
      </c>
      <c r="H20" s="35">
        <f>'Partner 1 Data'!E66</f>
        <v>8191</v>
      </c>
      <c r="I20" s="175">
        <f>'Partner 1 Data'!E81</f>
        <v>9375</v>
      </c>
      <c r="J20" s="36">
        <f>H20/D20</f>
        <v>0.3071625</v>
      </c>
      <c r="K20" s="35">
        <f>'Partner 1 Data'!F66</f>
        <v>19508</v>
      </c>
      <c r="L20" s="175">
        <f>'Partner 1 Data'!F81</f>
        <v>14187.81</v>
      </c>
      <c r="M20" s="36">
        <f>K20/D20</f>
        <v>0.73154999999999992</v>
      </c>
      <c r="N20" s="234">
        <f t="shared" ref="N20:O23" si="2">SUM(E20,H20,K20)</f>
        <v>27699</v>
      </c>
      <c r="O20" s="234">
        <f t="shared" si="2"/>
        <v>23562.809999999998</v>
      </c>
      <c r="P20" s="244">
        <f>N20/(D20*4)</f>
        <v>0.25967812499999998</v>
      </c>
      <c r="Q20" s="2"/>
      <c r="R20" s="2"/>
      <c r="S20" s="2"/>
      <c r="T20" s="2"/>
      <c r="U20" s="2"/>
    </row>
    <row r="21" spans="1:21" x14ac:dyDescent="0.25">
      <c r="A21" s="464" t="s">
        <v>263</v>
      </c>
      <c r="B21" s="467">
        <f>EDB!E4</f>
        <v>400100</v>
      </c>
      <c r="C21" s="234">
        <f t="shared" ref="C21:C23" si="3">J9</f>
        <v>67138.34</v>
      </c>
      <c r="D21" s="235">
        <f>B21/15</f>
        <v>26673.333333333332</v>
      </c>
      <c r="E21" s="35">
        <f>'Partner 3 Data'!D66</f>
        <v>2290.84</v>
      </c>
      <c r="F21" s="175">
        <f>'Partner 3 Data'!D81</f>
        <v>570.2700000000001</v>
      </c>
      <c r="G21" s="36">
        <f>E21/D21</f>
        <v>8.5885028742814312E-2</v>
      </c>
      <c r="H21" s="35">
        <f>'Partner 3 Data'!E66</f>
        <v>11991.4</v>
      </c>
      <c r="I21" s="175">
        <f>'Partner 3 Data'!E81</f>
        <v>3180.7300000000005</v>
      </c>
      <c r="J21" s="36">
        <f>H21/D21</f>
        <v>0.4495651087228193</v>
      </c>
      <c r="K21" s="35">
        <f>'Partner 3 Data'!F66</f>
        <v>5002.4100000000008</v>
      </c>
      <c r="L21" s="175">
        <f>'Partner 3 Data'!F81</f>
        <v>4926.08</v>
      </c>
      <c r="M21" s="36">
        <f>K21/D21</f>
        <v>0.18754348912771812</v>
      </c>
      <c r="N21" s="234">
        <f t="shared" si="2"/>
        <v>19284.650000000001</v>
      </c>
      <c r="O21" s="234">
        <f t="shared" si="2"/>
        <v>8677.08</v>
      </c>
      <c r="P21" s="244">
        <f>N21/(D21*4)</f>
        <v>0.18074840664833794</v>
      </c>
      <c r="Q21" s="2"/>
      <c r="R21" s="2"/>
      <c r="S21" s="2"/>
      <c r="T21" s="2"/>
      <c r="U21" s="2"/>
    </row>
    <row r="22" spans="1:21" x14ac:dyDescent="0.25">
      <c r="A22" s="465" t="s">
        <v>262</v>
      </c>
      <c r="B22" s="467">
        <f>EDB!E5</f>
        <v>380000</v>
      </c>
      <c r="C22" s="234">
        <f t="shared" si="3"/>
        <v>42423.65</v>
      </c>
      <c r="D22" s="235">
        <f>B22/15</f>
        <v>25333.333333333332</v>
      </c>
      <c r="E22" s="35">
        <f>'Partner 4 Data'!D66</f>
        <v>0</v>
      </c>
      <c r="F22" s="175">
        <f>'Partner 4 Data'!D81</f>
        <v>0</v>
      </c>
      <c r="G22" s="36">
        <f>E22/D22</f>
        <v>0</v>
      </c>
      <c r="H22" s="35">
        <f>'Partner 4 Data'!E66</f>
        <v>3968</v>
      </c>
      <c r="I22" s="175">
        <f>'Partner 4 Data'!E81</f>
        <v>0</v>
      </c>
      <c r="J22" s="36">
        <f>H22/D22</f>
        <v>0.15663157894736843</v>
      </c>
      <c r="K22" s="35">
        <v>12389</v>
      </c>
      <c r="L22" s="175">
        <f>'Partner 4 Data'!F81</f>
        <v>0</v>
      </c>
      <c r="M22" s="36">
        <f>K22/D22</f>
        <v>0.48903947368421052</v>
      </c>
      <c r="N22" s="234">
        <f t="shared" si="2"/>
        <v>16357</v>
      </c>
      <c r="O22" s="234">
        <f t="shared" si="2"/>
        <v>0</v>
      </c>
      <c r="P22" s="244">
        <f>N22/(D22*4)</f>
        <v>0.16141776315789474</v>
      </c>
      <c r="Q22" s="2"/>
      <c r="R22" s="2"/>
      <c r="S22" s="2"/>
      <c r="T22" s="2"/>
      <c r="U22" s="2"/>
    </row>
    <row r="23" spans="1:21" ht="15.75" thickBot="1" x14ac:dyDescent="0.3">
      <c r="A23" s="466" t="s">
        <v>265</v>
      </c>
      <c r="B23" s="467">
        <f>EDB!E6</f>
        <v>240000</v>
      </c>
      <c r="C23" s="236">
        <f t="shared" si="3"/>
        <v>0</v>
      </c>
      <c r="D23" s="237">
        <f>B23/15</f>
        <v>16000</v>
      </c>
      <c r="E23" s="37">
        <v>0</v>
      </c>
      <c r="F23" s="176">
        <f>'Partner 2 Data'!D66</f>
        <v>0</v>
      </c>
      <c r="G23" s="38">
        <f>E23/D23</f>
        <v>0</v>
      </c>
      <c r="H23" s="37">
        <f>'Partner 2 Data'!E66</f>
        <v>4089.0599999999995</v>
      </c>
      <c r="I23" s="176">
        <f>'Partner 2 Data'!E81</f>
        <v>0</v>
      </c>
      <c r="J23" s="38">
        <f>H23/D23</f>
        <v>0.25556624999999999</v>
      </c>
      <c r="K23" s="37">
        <f>'Partner 2 Data'!F66</f>
        <v>2169</v>
      </c>
      <c r="L23" s="176">
        <f>'Partner 2 Data'!F81</f>
        <v>0</v>
      </c>
      <c r="M23" s="38">
        <f>K23/D23</f>
        <v>0.1355625</v>
      </c>
      <c r="N23" s="236">
        <f t="shared" si="2"/>
        <v>6258.0599999999995</v>
      </c>
      <c r="O23" s="234">
        <f t="shared" si="2"/>
        <v>0</v>
      </c>
      <c r="P23" s="244">
        <f>N23/(D23*4)</f>
        <v>9.7782187499999992E-2</v>
      </c>
      <c r="Q23" s="2"/>
      <c r="R23" s="2"/>
      <c r="S23" s="2"/>
      <c r="T23" s="2"/>
      <c r="U23" s="2"/>
    </row>
    <row r="24" spans="1:21" x14ac:dyDescent="0.25">
      <c r="B24" s="240"/>
      <c r="C24" s="240"/>
      <c r="D24" s="240"/>
      <c r="E24" s="241"/>
      <c r="F24" s="241"/>
      <c r="G24" s="2"/>
      <c r="H24" s="241"/>
      <c r="I24" s="241"/>
      <c r="J24" s="2"/>
      <c r="K24" s="241"/>
      <c r="L24" s="241"/>
      <c r="M24" s="2"/>
      <c r="N24" s="241"/>
      <c r="O24" s="241"/>
      <c r="P24" s="242"/>
      <c r="Q24" s="2"/>
      <c r="R24" s="2"/>
      <c r="S24" s="2"/>
      <c r="T24" s="2"/>
      <c r="U24" s="2"/>
    </row>
    <row r="25" spans="1:21" ht="27" thickBot="1" x14ac:dyDescent="0.45">
      <c r="B25" s="559" t="s">
        <v>91</v>
      </c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2"/>
      <c r="R25" s="2"/>
      <c r="S25" s="2"/>
      <c r="T25" s="2"/>
      <c r="U25" s="2"/>
    </row>
    <row r="26" spans="1:21" x14ac:dyDescent="0.25">
      <c r="B26" s="539" t="s">
        <v>67</v>
      </c>
      <c r="C26" s="540"/>
      <c r="D26" s="541"/>
      <c r="E26" s="542" t="s">
        <v>68</v>
      </c>
      <c r="F26" s="543"/>
      <c r="G26" s="544"/>
      <c r="H26" s="545" t="s">
        <v>69</v>
      </c>
      <c r="I26" s="546"/>
      <c r="J26" s="547"/>
      <c r="K26" s="560" t="s">
        <v>70</v>
      </c>
      <c r="L26" s="561"/>
      <c r="M26" s="562"/>
      <c r="N26" s="563" t="s">
        <v>71</v>
      </c>
      <c r="O26" s="564"/>
      <c r="P26" s="564"/>
      <c r="Q26" s="2"/>
      <c r="R26" s="2"/>
      <c r="S26" s="2"/>
      <c r="T26" s="2"/>
      <c r="U26" s="2"/>
    </row>
    <row r="27" spans="1:21" ht="32.25" thickBot="1" x14ac:dyDescent="0.3">
      <c r="B27" s="34" t="s">
        <v>31</v>
      </c>
      <c r="C27" s="174" t="s">
        <v>89</v>
      </c>
      <c r="D27" s="25" t="s">
        <v>29</v>
      </c>
      <c r="E27" s="34" t="s">
        <v>31</v>
      </c>
      <c r="F27" s="174" t="s">
        <v>89</v>
      </c>
      <c r="G27" s="25" t="s">
        <v>29</v>
      </c>
      <c r="H27" s="34" t="s">
        <v>26</v>
      </c>
      <c r="I27" s="174" t="s">
        <v>89</v>
      </c>
      <c r="J27" s="25" t="s">
        <v>29</v>
      </c>
      <c r="K27" s="34" t="s">
        <v>26</v>
      </c>
      <c r="L27" s="174" t="s">
        <v>89</v>
      </c>
      <c r="M27" s="44" t="s">
        <v>29</v>
      </c>
      <c r="N27" s="231" t="s">
        <v>26</v>
      </c>
      <c r="O27" s="232" t="s">
        <v>89</v>
      </c>
      <c r="P27" s="243" t="s">
        <v>29</v>
      </c>
      <c r="Q27" s="2"/>
      <c r="R27" s="2"/>
      <c r="S27" s="2"/>
      <c r="T27" s="2"/>
      <c r="U27" s="2"/>
    </row>
    <row r="28" spans="1:21" ht="15.75" x14ac:dyDescent="0.25">
      <c r="A28" s="226" t="s">
        <v>264</v>
      </c>
      <c r="B28" s="35">
        <f>'Partner 1 Data'!G66</f>
        <v>21440</v>
      </c>
      <c r="C28" s="175">
        <f>'Partner 1 Data'!G81</f>
        <v>16661</v>
      </c>
      <c r="D28" s="36">
        <f>B28/D20</f>
        <v>0.80399999999999994</v>
      </c>
      <c r="E28" s="35">
        <f>'Partner 1 Data'!H66</f>
        <v>47560</v>
      </c>
      <c r="F28" s="175">
        <f>'Partner 1 Data'!H81</f>
        <v>-4074</v>
      </c>
      <c r="G28" s="36">
        <f>E28/$D$20</f>
        <v>1.7834999999999999</v>
      </c>
      <c r="H28" s="35">
        <f>'Partner 1 Data'!I66</f>
        <v>33834</v>
      </c>
      <c r="I28" s="175">
        <f>'Partner 1 Data'!I81</f>
        <v>4756</v>
      </c>
      <c r="J28" s="36">
        <f>H28/D20</f>
        <v>1.268775</v>
      </c>
      <c r="K28" s="39">
        <f>'Partner 1 Data'!J66</f>
        <v>16236.5</v>
      </c>
      <c r="L28" s="175">
        <f>'Partner 1 Data'!J81</f>
        <v>4992</v>
      </c>
      <c r="M28" s="36">
        <f>K28/D20</f>
        <v>0.60886874999999996</v>
      </c>
      <c r="N28" s="234">
        <f>SUM(B28,E28,H28,K28)</f>
        <v>119070.5</v>
      </c>
      <c r="O28" s="234">
        <f>SUM(C28,F28,I28,L28)</f>
        <v>22335</v>
      </c>
      <c r="P28" s="245">
        <f>N28/(D20*4)</f>
        <v>1.1162859375</v>
      </c>
      <c r="Q28" s="207"/>
      <c r="R28" s="208"/>
      <c r="S28" s="2"/>
      <c r="T28" s="2"/>
      <c r="U28" s="2"/>
    </row>
    <row r="29" spans="1:21" x14ac:dyDescent="0.25">
      <c r="A29" s="227" t="s">
        <v>263</v>
      </c>
      <c r="B29" s="35">
        <f>'Partner 3 Data'!G66</f>
        <v>10470</v>
      </c>
      <c r="C29" s="175">
        <f>'Partner 3 Data'!G81</f>
        <v>3827.49</v>
      </c>
      <c r="D29" s="36">
        <f t="shared" ref="D29:D31" si="4">B29/D21</f>
        <v>0.39252686828292926</v>
      </c>
      <c r="E29" s="35">
        <f>'Partner 3 Data'!H66</f>
        <v>9202.65</v>
      </c>
      <c r="F29" s="175">
        <f>'Partner 3 Data'!H81</f>
        <v>3827.4700000000003</v>
      </c>
      <c r="G29" s="36">
        <f>E29/D21</f>
        <v>0.3450131217195701</v>
      </c>
      <c r="H29" s="35">
        <f>'Partner 3 Data'!I66</f>
        <v>1854</v>
      </c>
      <c r="I29" s="175">
        <f>'Partner 3 Data'!I81</f>
        <v>4238</v>
      </c>
      <c r="J29" s="36">
        <f t="shared" ref="J29:J31" si="5">H29/D21</f>
        <v>6.9507623094226451E-2</v>
      </c>
      <c r="K29" s="39">
        <f>'Partner 3 Data'!J66</f>
        <v>39137.780000000006</v>
      </c>
      <c r="L29" s="175">
        <f>'Partner 3 Data'!J81</f>
        <v>4238.6100000000006</v>
      </c>
      <c r="M29" s="36">
        <f t="shared" ref="M29:M31" si="6">K29/D21</f>
        <v>1.4672999250187455</v>
      </c>
      <c r="N29" s="234">
        <f>SUM(B29,E29,H29,K29)</f>
        <v>60664.430000000008</v>
      </c>
      <c r="O29" s="234">
        <f>SUM(C29,F29,I29,L29)</f>
        <v>16131.57</v>
      </c>
      <c r="P29" s="245">
        <f>N29/(D21*4)</f>
        <v>0.56858688452886785</v>
      </c>
      <c r="Q29" s="204"/>
      <c r="R29" s="3"/>
      <c r="S29" s="2"/>
      <c r="T29" s="2"/>
      <c r="U29" s="2"/>
    </row>
    <row r="30" spans="1:21" x14ac:dyDescent="0.25">
      <c r="A30" s="228" t="s">
        <v>262</v>
      </c>
      <c r="B30" s="35">
        <f>'Partner 4 Data'!G66</f>
        <v>31142</v>
      </c>
      <c r="C30" s="175">
        <f>'Partner 4 Data'!G81</f>
        <v>0</v>
      </c>
      <c r="D30" s="36">
        <f t="shared" si="4"/>
        <v>1.2292894736842106</v>
      </c>
      <c r="E30" s="35">
        <f>'Partner 4 Data'!H66</f>
        <v>22690</v>
      </c>
      <c r="F30" s="175">
        <f>'Partner 4 Data'!H81</f>
        <v>0</v>
      </c>
      <c r="G30" s="36">
        <f>E30/D22</f>
        <v>0.8956578947368421</v>
      </c>
      <c r="H30" s="35">
        <f>'Partner 4 Data'!I66</f>
        <v>24333</v>
      </c>
      <c r="I30" s="175">
        <f>'Partner 4 Data'!I81</f>
        <v>0</v>
      </c>
      <c r="J30" s="36">
        <f t="shared" si="5"/>
        <v>0.9605131578947369</v>
      </c>
      <c r="K30" s="39">
        <f>'Partner 4 Data'!J66</f>
        <v>21147</v>
      </c>
      <c r="L30" s="175">
        <f>'Partner 4 Data'!J81</f>
        <v>0</v>
      </c>
      <c r="M30" s="36">
        <f t="shared" si="6"/>
        <v>0.83474999999999999</v>
      </c>
      <c r="N30" s="234">
        <f>SUM(E30,H30,K30)</f>
        <v>68170</v>
      </c>
      <c r="O30" s="234">
        <f>SUM(C30,F30,I30,L30)</f>
        <v>0</v>
      </c>
      <c r="P30" s="245">
        <f t="shared" ref="P30:P31" si="7">N30/(D22*4)</f>
        <v>0.67273026315789475</v>
      </c>
      <c r="Q30" s="204"/>
      <c r="R30" s="3"/>
      <c r="S30" s="2"/>
      <c r="T30" s="2"/>
      <c r="U30" s="2"/>
    </row>
    <row r="31" spans="1:21" ht="15.75" thickBot="1" x14ac:dyDescent="0.3">
      <c r="A31" s="229" t="s">
        <v>265</v>
      </c>
      <c r="B31" s="37">
        <f>'Partner 2 Data'!G66</f>
        <v>6455.91</v>
      </c>
      <c r="C31" s="176">
        <f>'Partner 2 Data'!G81</f>
        <v>0</v>
      </c>
      <c r="D31" s="36">
        <f t="shared" si="4"/>
        <v>0.40349437500000002</v>
      </c>
      <c r="E31" s="37">
        <f>'Partner 2 Data'!H66</f>
        <v>5718</v>
      </c>
      <c r="F31" s="176">
        <f>'Partner 2 Data'!H81</f>
        <v>0</v>
      </c>
      <c r="G31" s="38">
        <f>E31/D23</f>
        <v>0.357375</v>
      </c>
      <c r="H31" s="37">
        <f>'Partner 2 Data'!I66</f>
        <v>45558</v>
      </c>
      <c r="I31" s="176">
        <f>'Partner 2 Data'!H81</f>
        <v>0</v>
      </c>
      <c r="J31" s="36">
        <f t="shared" si="5"/>
        <v>2.847375</v>
      </c>
      <c r="K31" s="43">
        <f>'Partner 2 Data'!J66</f>
        <v>56088</v>
      </c>
      <c r="L31" s="175">
        <f>'Partner 2 Data'!J81</f>
        <v>45558</v>
      </c>
      <c r="M31" s="36">
        <f t="shared" si="6"/>
        <v>3.5055000000000001</v>
      </c>
      <c r="N31" s="236">
        <f>SUM(E31,H31,K31)</f>
        <v>107364</v>
      </c>
      <c r="O31" s="234">
        <f>SUM(C31,F31,I31,L31)</f>
        <v>45558</v>
      </c>
      <c r="P31" s="245">
        <f t="shared" si="7"/>
        <v>1.6775625000000001</v>
      </c>
      <c r="Q31" s="204"/>
      <c r="R31" s="3"/>
      <c r="S31" s="2"/>
      <c r="T31" s="2"/>
      <c r="U31" s="2"/>
    </row>
    <row r="32" spans="1:21" ht="15.75" thickBot="1" x14ac:dyDescent="0.3">
      <c r="B32" s="13"/>
      <c r="C32" s="13"/>
      <c r="E32" s="37">
        <f>SUM(E28:E31)</f>
        <v>85170.65</v>
      </c>
      <c r="F32" s="37">
        <f>SUM(F28:F31)</f>
        <v>-246.52999999999975</v>
      </c>
      <c r="G32" s="38">
        <f>E32/SUM(D20:D23)</f>
        <v>0.89962661080205619</v>
      </c>
      <c r="H32" s="37">
        <f>SUM(H28:H31)</f>
        <v>105579</v>
      </c>
      <c r="I32" s="37">
        <f>SUM(I28:I31)</f>
        <v>8994</v>
      </c>
      <c r="J32" s="38"/>
      <c r="K32" s="37">
        <f>SUM(K28:K31)</f>
        <v>132609.28</v>
      </c>
      <c r="L32" s="37">
        <f>SUM(L28:L31)</f>
        <v>54788.61</v>
      </c>
      <c r="M32" s="38" t="e">
        <f>K32/D32</f>
        <v>#DIV/0!</v>
      </c>
      <c r="N32" s="126">
        <f>SUM(N28:N31)</f>
        <v>355268.93</v>
      </c>
      <c r="O32" s="126">
        <f>SUM(O28:O31)</f>
        <v>84024.57</v>
      </c>
      <c r="P32" s="202"/>
      <c r="Q32" s="204"/>
      <c r="R32" s="3"/>
      <c r="S32" s="2"/>
      <c r="T32" s="2"/>
      <c r="U32" s="205"/>
    </row>
    <row r="33" spans="2:21" x14ac:dyDescent="0.25">
      <c r="B33" s="2"/>
      <c r="C33" s="2"/>
      <c r="D33" s="2"/>
      <c r="E33" s="204"/>
      <c r="F33" s="204"/>
      <c r="G33" s="3"/>
      <c r="H33" s="204"/>
      <c r="I33" s="204"/>
      <c r="J33" s="3"/>
      <c r="K33" s="204"/>
      <c r="L33" s="204"/>
      <c r="M33" s="3"/>
      <c r="N33" s="238"/>
      <c r="O33" s="239"/>
      <c r="P33" s="3"/>
      <c r="Q33" s="204"/>
      <c r="R33" s="3"/>
      <c r="S33" s="2"/>
      <c r="T33" s="2"/>
      <c r="U33" s="205"/>
    </row>
    <row r="34" spans="2:21" x14ac:dyDescent="0.25">
      <c r="C34" s="2"/>
      <c r="D34" s="2"/>
      <c r="E34" s="204"/>
      <c r="F34" s="204"/>
      <c r="G34" s="3"/>
      <c r="H34" s="204"/>
      <c r="I34" s="204"/>
      <c r="J34" s="3"/>
      <c r="K34" s="204"/>
      <c r="L34" s="204"/>
      <c r="M34" s="3"/>
      <c r="N34" s="238"/>
      <c r="O34" s="239"/>
      <c r="P34" s="3"/>
      <c r="Q34" s="204"/>
      <c r="R34" s="3"/>
      <c r="S34" s="2"/>
      <c r="T34" s="2"/>
      <c r="U34" s="205"/>
    </row>
    <row r="35" spans="2:21" x14ac:dyDescent="0.25">
      <c r="C35" s="2"/>
      <c r="D35" s="2"/>
      <c r="E35" s="204"/>
      <c r="F35" s="204"/>
      <c r="G35" s="3"/>
      <c r="H35" s="204"/>
      <c r="I35" s="204"/>
      <c r="J35" s="3"/>
      <c r="K35" s="204"/>
      <c r="L35" s="204"/>
      <c r="M35" s="3"/>
      <c r="N35" s="238"/>
      <c r="O35" s="239"/>
      <c r="P35" s="3"/>
      <c r="Q35" s="204"/>
      <c r="R35" s="3"/>
      <c r="S35" s="2"/>
      <c r="T35" s="2"/>
      <c r="U35" s="205"/>
    </row>
    <row r="36" spans="2:2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2:2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2:2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2:2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2:2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2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2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06"/>
      <c r="T43" s="2"/>
      <c r="U43" s="2"/>
    </row>
    <row r="44" spans="2:2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06"/>
      <c r="T44" s="2"/>
      <c r="U44" s="2"/>
    </row>
    <row r="45" spans="2:2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2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2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4:21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4:21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4:21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4:21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4:21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4:21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4:21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4:21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4:21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4:21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4:21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74" spans="4:6" x14ac:dyDescent="0.25">
      <c r="E74" s="12"/>
      <c r="F74" s="12"/>
    </row>
    <row r="75" spans="4:6" x14ac:dyDescent="0.25">
      <c r="D75" s="12"/>
    </row>
  </sheetData>
  <mergeCells count="19">
    <mergeCell ref="B25:P25"/>
    <mergeCell ref="B26:D26"/>
    <mergeCell ref="E26:G26"/>
    <mergeCell ref="H26:J26"/>
    <mergeCell ref="K26:M26"/>
    <mergeCell ref="N26:P26"/>
    <mergeCell ref="A1:P1"/>
    <mergeCell ref="A2:D2"/>
    <mergeCell ref="N18:P18"/>
    <mergeCell ref="B18:D18"/>
    <mergeCell ref="E18:G18"/>
    <mergeCell ref="H18:J18"/>
    <mergeCell ref="K18:M18"/>
    <mergeCell ref="E2:F2"/>
    <mergeCell ref="H2:I2"/>
    <mergeCell ref="B17:P17"/>
    <mergeCell ref="K5:N5"/>
    <mergeCell ref="D5:I5"/>
    <mergeCell ref="D14:H14"/>
  </mergeCells>
  <conditionalFormatting sqref="D28:D31 G28:G32 J28:J32 M28:M32">
    <cfRule type="cellIs" dxfId="8" priority="22" operator="greaterThan">
      <formula>0.89</formula>
    </cfRule>
    <cfRule type="cellIs" dxfId="7" priority="23" operator="between">
      <formula>0.5</formula>
      <formula>0.89</formula>
    </cfRule>
    <cfRule type="cellIs" dxfId="6" priority="24" operator="lessThan">
      <formula>0.5</formula>
    </cfRule>
  </conditionalFormatting>
  <conditionalFormatting sqref="G20:G23 J20:J23 M20:M23 P20:P23">
    <cfRule type="cellIs" dxfId="5" priority="25" operator="greaterThan">
      <formula>0.89</formula>
    </cfRule>
    <cfRule type="cellIs" dxfId="4" priority="26" operator="between">
      <formula>0.5</formula>
      <formula>0.89</formula>
    </cfRule>
    <cfRule type="cellIs" dxfId="3" priority="27" operator="lessThan">
      <formula>0.5</formula>
    </cfRule>
  </conditionalFormatting>
  <conditionalFormatting sqref="P28:P32">
    <cfRule type="cellIs" dxfId="2" priority="16" operator="greaterThan">
      <formula>0.89</formula>
    </cfRule>
    <cfRule type="cellIs" dxfId="1" priority="17" operator="between">
      <formula>0.5</formula>
      <formula>0.89</formula>
    </cfRule>
    <cfRule type="cellIs" dxfId="0" priority="18" operator="lessThan">
      <formula>0.5</formula>
    </cfRule>
  </conditionalFormatting>
  <pageMargins left="0.7" right="0.7" top="0.75" bottom="0.75" header="0.3" footer="0.3"/>
  <pageSetup orientation="portrait" horizontalDpi="204" verticalDpi="1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66CC-DED4-4040-A726-ECF23B56FA51}">
  <sheetPr>
    <tabColor rgb="FF0070C0"/>
  </sheetPr>
  <dimension ref="A1:R82"/>
  <sheetViews>
    <sheetView zoomScaleNormal="100" workbookViewId="0">
      <pane ySplit="4" topLeftCell="A5" activePane="bottomLeft" state="frozen"/>
      <selection activeCell="V3" sqref="V3"/>
      <selection pane="bottomLeft" activeCell="U13" sqref="U13"/>
    </sheetView>
  </sheetViews>
  <sheetFormatPr defaultRowHeight="15" x14ac:dyDescent="0.25"/>
  <cols>
    <col min="3" max="3" width="11.7109375" customWidth="1"/>
    <col min="4" max="5" width="9.28515625" bestFit="1" customWidth="1"/>
    <col min="13" max="16" width="9.140625" customWidth="1"/>
    <col min="18" max="18" width="9.140625" style="171"/>
  </cols>
  <sheetData>
    <row r="1" spans="1:18" ht="33.75" x14ac:dyDescent="0.5">
      <c r="A1" s="565" t="s">
        <v>310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</row>
    <row r="2" spans="1:18" ht="15.75" thickBot="1" x14ac:dyDescent="0.3">
      <c r="A2" s="566" t="s">
        <v>80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6"/>
    </row>
    <row r="3" spans="1:18" ht="21.75" thickBot="1" x14ac:dyDescent="0.4">
      <c r="A3" s="58"/>
      <c r="B3" s="56"/>
      <c r="C3" s="59" t="s">
        <v>81</v>
      </c>
      <c r="D3" s="72">
        <v>2021</v>
      </c>
      <c r="E3" s="57"/>
      <c r="F3" s="63"/>
      <c r="G3" s="73">
        <v>2022</v>
      </c>
      <c r="H3" s="66"/>
      <c r="I3" s="66"/>
      <c r="J3" s="67"/>
      <c r="K3" s="74">
        <v>2023</v>
      </c>
      <c r="L3" s="68"/>
      <c r="M3" s="68"/>
      <c r="N3" s="69"/>
      <c r="O3" s="75">
        <v>2024</v>
      </c>
      <c r="P3" s="70"/>
      <c r="Q3" s="70"/>
      <c r="R3" s="432"/>
    </row>
    <row r="4" spans="1:18" ht="15.75" thickBot="1" x14ac:dyDescent="0.3">
      <c r="A4" s="567" t="s">
        <v>15</v>
      </c>
      <c r="B4" s="568"/>
      <c r="C4" s="55" t="s">
        <v>83</v>
      </c>
      <c r="D4" s="64" t="s">
        <v>76</v>
      </c>
      <c r="E4" s="60" t="s">
        <v>77</v>
      </c>
      <c r="F4" s="65" t="s">
        <v>78</v>
      </c>
      <c r="G4" s="64" t="s">
        <v>76</v>
      </c>
      <c r="H4" s="60" t="s">
        <v>77</v>
      </c>
      <c r="I4" s="61" t="s">
        <v>78</v>
      </c>
      <c r="J4" s="62" t="s">
        <v>79</v>
      </c>
      <c r="K4" s="64" t="s">
        <v>76</v>
      </c>
      <c r="L4" s="60" t="s">
        <v>77</v>
      </c>
      <c r="M4" s="61" t="s">
        <v>78</v>
      </c>
      <c r="N4" s="62" t="s">
        <v>79</v>
      </c>
      <c r="O4" s="64" t="s">
        <v>76</v>
      </c>
      <c r="P4" s="60" t="s">
        <v>77</v>
      </c>
      <c r="Q4" s="61" t="s">
        <v>78</v>
      </c>
      <c r="R4" s="433" t="s">
        <v>79</v>
      </c>
    </row>
    <row r="5" spans="1:18" ht="16.5" thickBot="1" x14ac:dyDescent="0.3">
      <c r="A5" s="569" t="s">
        <v>86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0"/>
      <c r="R5" s="571"/>
    </row>
    <row r="6" spans="1:18" ht="16.5" thickBot="1" x14ac:dyDescent="0.3">
      <c r="A6" s="572" t="s">
        <v>38</v>
      </c>
      <c r="B6" s="573"/>
      <c r="C6" s="127" t="s">
        <v>92</v>
      </c>
      <c r="D6" s="105"/>
      <c r="E6" s="105"/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434"/>
    </row>
    <row r="7" spans="1:18" x14ac:dyDescent="0.25">
      <c r="A7" s="576" t="s">
        <v>39</v>
      </c>
      <c r="B7" s="577"/>
      <c r="C7" s="99">
        <f>SUM(D7:R7)</f>
        <v>6</v>
      </c>
      <c r="D7" s="116">
        <f>SUM('Partner 2 Data'!D7,'Partner 3 Data'!D7,'Partner 1 Data'!D7,'Partner 4 Data'!D7)</f>
        <v>6</v>
      </c>
      <c r="E7" s="116">
        <f>SUM('Partner 2 Data'!E7,'Partner 3 Data'!E7,'Partner 1 Data'!E7,'Partner 4 Data'!E7)</f>
        <v>0</v>
      </c>
      <c r="F7" s="116">
        <f>SUM('Partner 2 Data'!F7,'Partner 3 Data'!F7,'Partner 1 Data'!F7,'Partner 4 Data'!F7)</f>
        <v>0</v>
      </c>
      <c r="G7" s="116">
        <f>SUM('Partner 2 Data'!G7,'Partner 3 Data'!G7,'Partner 1 Data'!G7,'Partner 4 Data'!G7)</f>
        <v>0</v>
      </c>
      <c r="H7" s="116">
        <f>SUM('Partner 2 Data'!H7,'Partner 3 Data'!H7,'Partner 1 Data'!H7,'Partner 4 Data'!H7)</f>
        <v>0</v>
      </c>
      <c r="I7" s="116">
        <f>SUM('Partner 2 Data'!I7,'Partner 3 Data'!I7,'Partner 1 Data'!I7,'Partner 4 Data'!I7)</f>
        <v>0</v>
      </c>
      <c r="J7" s="116">
        <f>SUM('Partner 2 Data'!J7,'Partner 3 Data'!J7,'Partner 1 Data'!J7,'Partner 4 Data'!J7)</f>
        <v>0</v>
      </c>
      <c r="K7" s="116">
        <f>SUM('Partner 2 Data'!K7,'Partner 3 Data'!K7,'Partner 1 Data'!K7,'Partner 4 Data'!K7)</f>
        <v>0</v>
      </c>
      <c r="L7" s="116">
        <f>SUM('Partner 2 Data'!L7,'Partner 3 Data'!L7,'Partner 1 Data'!L7,'Partner 4 Data'!L7)</f>
        <v>0</v>
      </c>
      <c r="M7" s="116">
        <f>SUM('Partner 2 Data'!M7,'Partner 3 Data'!M7,'Partner 1 Data'!M7,'Partner 4 Data'!M7)</f>
        <v>0</v>
      </c>
      <c r="N7" s="116">
        <f>SUM('Partner 2 Data'!N7,'Partner 3 Data'!N7,'Partner 1 Data'!N7,'Partner 4 Data'!N7)</f>
        <v>0</v>
      </c>
      <c r="O7" s="116">
        <f>SUM('Partner 2 Data'!O7,'Partner 3 Data'!O7,'Partner 1 Data'!O7,'Partner 4 Data'!O7)</f>
        <v>0</v>
      </c>
      <c r="P7" s="116">
        <f>SUM('Partner 2 Data'!P7,'Partner 3 Data'!P7,'Partner 1 Data'!P7,'Partner 4 Data'!P7)</f>
        <v>0</v>
      </c>
      <c r="Q7" s="116">
        <f>SUM('Partner 2 Data'!Q7,'Partner 3 Data'!Q7,'Partner 1 Data'!Q7,'Partner 4 Data'!Q7)</f>
        <v>0</v>
      </c>
      <c r="R7" s="435">
        <f>SUM('Partner 2 Data'!R7,'Partner 3 Data'!R7,'Partner 1 Data'!R7,'Partner 4 Data'!R7)</f>
        <v>0</v>
      </c>
    </row>
    <row r="8" spans="1:18" x14ac:dyDescent="0.25">
      <c r="A8" s="578" t="s">
        <v>40</v>
      </c>
      <c r="B8" s="579"/>
      <c r="C8" s="100">
        <f>SUM(D8:R8)</f>
        <v>0</v>
      </c>
      <c r="D8" s="116">
        <f>SUM('Partner 2 Data'!D8,'Partner 3 Data'!D8,'Partner 1 Data'!D8,'Partner 4 Data'!D8)</f>
        <v>0</v>
      </c>
      <c r="E8" s="116">
        <f>SUM('Partner 2 Data'!E8,'Partner 3 Data'!E8,'Partner 1 Data'!E8,'Partner 4 Data'!E8)</f>
        <v>0</v>
      </c>
      <c r="F8" s="116">
        <f>SUM('Partner 2 Data'!F8,'Partner 3 Data'!F8,'Partner 1 Data'!F8,'Partner 4 Data'!F8)</f>
        <v>0</v>
      </c>
      <c r="G8" s="116">
        <f>SUM('Partner 2 Data'!G8,'Partner 3 Data'!G8,'Partner 1 Data'!G8,'Partner 4 Data'!G8)</f>
        <v>0</v>
      </c>
      <c r="H8" s="116">
        <f>SUM('Partner 2 Data'!H8,'Partner 3 Data'!H8,'Partner 1 Data'!H8,'Partner 4 Data'!H8)</f>
        <v>0</v>
      </c>
      <c r="I8" s="116">
        <f>SUM('Partner 2 Data'!I8,'Partner 3 Data'!I8,'Partner 1 Data'!I8,'Partner 4 Data'!I8)</f>
        <v>0</v>
      </c>
      <c r="J8" s="116">
        <f>SUM('Partner 2 Data'!J8,'Partner 3 Data'!J8,'Partner 1 Data'!J8,'Partner 4 Data'!J8)</f>
        <v>0</v>
      </c>
      <c r="K8" s="116">
        <f>SUM('Partner 2 Data'!K8,'Partner 3 Data'!K8,'Partner 1 Data'!K8,'Partner 4 Data'!K8)</f>
        <v>0</v>
      </c>
      <c r="L8" s="116">
        <f>SUM('Partner 2 Data'!L8,'Partner 3 Data'!L8,'Partner 1 Data'!L8,'Partner 4 Data'!L8)</f>
        <v>0</v>
      </c>
      <c r="M8" s="116">
        <f>SUM('Partner 2 Data'!M8,'Partner 3 Data'!M8,'Partner 1 Data'!M8,'Partner 4 Data'!M8)</f>
        <v>0</v>
      </c>
      <c r="N8" s="116">
        <f>SUM('Partner 2 Data'!N8,'Partner 3 Data'!N8,'Partner 1 Data'!N8,'Partner 4 Data'!N8)</f>
        <v>0</v>
      </c>
      <c r="O8" s="116">
        <f>SUM('Partner 2 Data'!O8,'Partner 3 Data'!O8,'Partner 1 Data'!O8,'Partner 4 Data'!O8)</f>
        <v>0</v>
      </c>
      <c r="P8" s="116">
        <f>SUM('Partner 2 Data'!P8,'Partner 3 Data'!P8,'Partner 1 Data'!P8,'Partner 4 Data'!P8)</f>
        <v>0</v>
      </c>
      <c r="Q8" s="116">
        <f>SUM('Partner 2 Data'!Q8,'Partner 3 Data'!Q8,'Partner 1 Data'!Q8,'Partner 4 Data'!Q8)</f>
        <v>0</v>
      </c>
      <c r="R8" s="435">
        <f>SUM('Partner 2 Data'!R8,'Partner 3 Data'!R8,'Partner 1 Data'!R8,'Partner 4 Data'!R8)</f>
        <v>0</v>
      </c>
    </row>
    <row r="9" spans="1:18" ht="15.75" thickBot="1" x14ac:dyDescent="0.3">
      <c r="A9" s="574" t="s">
        <v>41</v>
      </c>
      <c r="B9" s="575"/>
      <c r="C9" s="100">
        <f>SUM(D9:R9)</f>
        <v>0</v>
      </c>
      <c r="D9" s="116">
        <f>SUM('Partner 2 Data'!D9,'Partner 3 Data'!D9,'Partner 1 Data'!D9,'Partner 4 Data'!D9)</f>
        <v>0</v>
      </c>
      <c r="E9" s="116">
        <f>SUM('Partner 2 Data'!E9,'Partner 3 Data'!E9,'Partner 1 Data'!E9,'Partner 4 Data'!E9)</f>
        <v>0</v>
      </c>
      <c r="F9" s="116">
        <f>SUM('Partner 2 Data'!F9,'Partner 3 Data'!F9,'Partner 1 Data'!F9,'Partner 4 Data'!F9)</f>
        <v>0</v>
      </c>
      <c r="G9" s="116">
        <f>SUM('Partner 2 Data'!G9,'Partner 3 Data'!G9,'Partner 1 Data'!G9,'Partner 4 Data'!G9)</f>
        <v>0</v>
      </c>
      <c r="H9" s="116">
        <f>SUM('Partner 2 Data'!H9,'Partner 3 Data'!H9,'Partner 1 Data'!H9,'Partner 4 Data'!H9)</f>
        <v>0</v>
      </c>
      <c r="I9" s="116">
        <f>SUM('Partner 2 Data'!I9,'Partner 3 Data'!I9,'Partner 1 Data'!I9,'Partner 4 Data'!I9)</f>
        <v>0</v>
      </c>
      <c r="J9" s="116">
        <f>SUM('Partner 2 Data'!J9,'Partner 3 Data'!J9,'Partner 1 Data'!J9,'Partner 4 Data'!J9)</f>
        <v>0</v>
      </c>
      <c r="K9" s="116">
        <f>SUM('Partner 2 Data'!K9,'Partner 3 Data'!K9,'Partner 1 Data'!K9,'Partner 4 Data'!K9)</f>
        <v>0</v>
      </c>
      <c r="L9" s="116">
        <f>SUM('Partner 2 Data'!L9,'Partner 3 Data'!L9,'Partner 1 Data'!L9,'Partner 4 Data'!L9)</f>
        <v>0</v>
      </c>
      <c r="M9" s="116">
        <f>SUM('Partner 2 Data'!M9,'Partner 3 Data'!M9,'Partner 1 Data'!M9,'Partner 4 Data'!M9)</f>
        <v>0</v>
      </c>
      <c r="N9" s="116">
        <f>SUM('Partner 2 Data'!N9,'Partner 3 Data'!N9,'Partner 1 Data'!N9,'Partner 4 Data'!N9)</f>
        <v>0</v>
      </c>
      <c r="O9" s="116">
        <f>SUM('Partner 2 Data'!O9,'Partner 3 Data'!O9,'Partner 1 Data'!O9,'Partner 4 Data'!O9)</f>
        <v>0</v>
      </c>
      <c r="P9" s="116">
        <f>SUM('Partner 2 Data'!P9,'Partner 3 Data'!P9,'Partner 1 Data'!P9,'Partner 4 Data'!P9)</f>
        <v>0</v>
      </c>
      <c r="Q9" s="116">
        <f>SUM('Partner 2 Data'!Q9,'Partner 3 Data'!Q9,'Partner 1 Data'!Q9,'Partner 4 Data'!Q9)</f>
        <v>0</v>
      </c>
      <c r="R9" s="435">
        <f>SUM('Partner 2 Data'!R9,'Partner 3 Data'!R9,'Partner 1 Data'!R9,'Partner 4 Data'!R9)</f>
        <v>0</v>
      </c>
    </row>
    <row r="10" spans="1:18" ht="16.5" thickBot="1" x14ac:dyDescent="0.3">
      <c r="A10" s="572" t="s">
        <v>42</v>
      </c>
      <c r="B10" s="580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10"/>
      <c r="N10" s="110"/>
      <c r="O10" s="110"/>
      <c r="P10" s="110"/>
      <c r="Q10" s="110"/>
      <c r="R10" s="436"/>
    </row>
    <row r="11" spans="1:18" x14ac:dyDescent="0.25">
      <c r="A11" s="576" t="s">
        <v>43</v>
      </c>
      <c r="B11" s="577"/>
      <c r="C11" s="100">
        <f>SUM(D11:R11)</f>
        <v>0</v>
      </c>
      <c r="D11" s="116">
        <f>SUM('Partner 2 Data'!D11,'Partner 3 Data'!D11,'Partner 1 Data'!D11,'Partner 4 Data'!D11)</f>
        <v>0</v>
      </c>
      <c r="E11" s="116">
        <f>SUM('Partner 2 Data'!E11,'Partner 3 Data'!E11,'Partner 1 Data'!E11,'Partner 4 Data'!E11)</f>
        <v>0</v>
      </c>
      <c r="F11" s="116">
        <f>SUM('Partner 2 Data'!F11,'Partner 3 Data'!F11,'Partner 1 Data'!F11,'Partner 4 Data'!F11)</f>
        <v>0</v>
      </c>
      <c r="G11" s="116">
        <f>SUM('Partner 2 Data'!G11,'Partner 3 Data'!G11,'Partner 1 Data'!G11,'Partner 4 Data'!G11)</f>
        <v>0</v>
      </c>
      <c r="H11" s="116">
        <f>SUM('Partner 2 Data'!H11,'Partner 3 Data'!H11,'Partner 1 Data'!H11,'Partner 4 Data'!H11)</f>
        <v>0</v>
      </c>
      <c r="I11" s="116">
        <f>SUM('Partner 2 Data'!I11,'Partner 3 Data'!I11,'Partner 1 Data'!I11,'Partner 4 Data'!I11)</f>
        <v>0</v>
      </c>
      <c r="J11" s="116">
        <f>SUM('Partner 2 Data'!J11,'Partner 3 Data'!J11,'Partner 1 Data'!J11,'Partner 4 Data'!J11)</f>
        <v>0</v>
      </c>
      <c r="K11" s="116">
        <f>SUM('Partner 2 Data'!K11,'Partner 3 Data'!K11,'Partner 1 Data'!K11,'Partner 4 Data'!K11)</f>
        <v>0</v>
      </c>
      <c r="L11" s="116">
        <f>SUM('Partner 2 Data'!L11,'Partner 3 Data'!L11,'Partner 1 Data'!L11,'Partner 4 Data'!L11)</f>
        <v>0</v>
      </c>
      <c r="M11" s="116">
        <f>SUM('Partner 2 Data'!M11,'Partner 3 Data'!M11,'Partner 1 Data'!M11,'Partner 4 Data'!M11)</f>
        <v>0</v>
      </c>
      <c r="N11" s="116">
        <f>SUM('Partner 2 Data'!N11,'Partner 3 Data'!N11,'Partner 1 Data'!N11,'Partner 4 Data'!N11)</f>
        <v>0</v>
      </c>
      <c r="O11" s="116">
        <f>SUM('Partner 2 Data'!O11,'Partner 3 Data'!O11,'Partner 1 Data'!O11,'Partner 4 Data'!O11)</f>
        <v>0</v>
      </c>
      <c r="P11" s="116">
        <f>SUM('Partner 2 Data'!P11,'Partner 3 Data'!P11,'Partner 1 Data'!P11,'Partner 4 Data'!P11)</f>
        <v>0</v>
      </c>
      <c r="Q11" s="116">
        <f>SUM('Partner 2 Data'!Q11,'Partner 3 Data'!Q11,'Partner 1 Data'!Q11,'Partner 4 Data'!Q11)</f>
        <v>0</v>
      </c>
      <c r="R11" s="435">
        <f>SUM('Partner 2 Data'!R11,'Partner 3 Data'!R11,'Partner 1 Data'!R11,'Partner 4 Data'!R11)</f>
        <v>0</v>
      </c>
    </row>
    <row r="12" spans="1:18" x14ac:dyDescent="0.25">
      <c r="A12" s="578" t="s">
        <v>44</v>
      </c>
      <c r="B12" s="579"/>
      <c r="C12" s="100">
        <f>SUM(D12:R12)</f>
        <v>0</v>
      </c>
      <c r="D12" s="116">
        <f>SUM('Partner 2 Data'!D12,'Partner 3 Data'!D12,'Partner 1 Data'!D12,'Partner 4 Data'!D12)</f>
        <v>0</v>
      </c>
      <c r="E12" s="116">
        <f>SUM('Partner 2 Data'!E12,'Partner 3 Data'!E12,'Partner 1 Data'!E12,'Partner 4 Data'!E12)</f>
        <v>0</v>
      </c>
      <c r="F12" s="116">
        <f>SUM('Partner 2 Data'!F12,'Partner 3 Data'!F12,'Partner 1 Data'!F12,'Partner 4 Data'!F12)</f>
        <v>0</v>
      </c>
      <c r="G12" s="116">
        <f>SUM('Partner 2 Data'!G12,'Partner 3 Data'!G12,'Partner 1 Data'!G12,'Partner 4 Data'!G12)</f>
        <v>0</v>
      </c>
      <c r="H12" s="116">
        <f>SUM('Partner 2 Data'!H12,'Partner 3 Data'!H12,'Partner 1 Data'!H12,'Partner 4 Data'!H12)</f>
        <v>0</v>
      </c>
      <c r="I12" s="116">
        <f>SUM('Partner 2 Data'!I12,'Partner 3 Data'!I12,'Partner 1 Data'!I12,'Partner 4 Data'!I12)</f>
        <v>0</v>
      </c>
      <c r="J12" s="116">
        <f>SUM('Partner 2 Data'!J12,'Partner 3 Data'!J12,'Partner 1 Data'!J12,'Partner 4 Data'!J12)</f>
        <v>0</v>
      </c>
      <c r="K12" s="116">
        <f>SUM('Partner 2 Data'!K12,'Partner 3 Data'!K12,'Partner 1 Data'!K12,'Partner 4 Data'!K12)</f>
        <v>0</v>
      </c>
      <c r="L12" s="116">
        <f>SUM('Partner 2 Data'!L12,'Partner 3 Data'!L12,'Partner 1 Data'!L12,'Partner 4 Data'!L12)</f>
        <v>0</v>
      </c>
      <c r="M12" s="116">
        <f>SUM('Partner 2 Data'!M12,'Partner 3 Data'!M12,'Partner 1 Data'!M12,'Partner 4 Data'!M12)</f>
        <v>0</v>
      </c>
      <c r="N12" s="116">
        <f>SUM('Partner 2 Data'!N12,'Partner 3 Data'!N12,'Partner 1 Data'!N12,'Partner 4 Data'!N12)</f>
        <v>0</v>
      </c>
      <c r="O12" s="116">
        <f>SUM('Partner 2 Data'!O12,'Partner 3 Data'!O12,'Partner 1 Data'!O12,'Partner 4 Data'!O12)</f>
        <v>0</v>
      </c>
      <c r="P12" s="116">
        <f>SUM('Partner 2 Data'!P12,'Partner 3 Data'!P12,'Partner 1 Data'!P12,'Partner 4 Data'!P12)</f>
        <v>0</v>
      </c>
      <c r="Q12" s="116">
        <f>SUM('Partner 2 Data'!Q12,'Partner 3 Data'!Q12,'Partner 1 Data'!Q12,'Partner 4 Data'!Q12)</f>
        <v>0</v>
      </c>
      <c r="R12" s="435">
        <f>SUM('Partner 2 Data'!R12,'Partner 3 Data'!R12,'Partner 1 Data'!R12,'Partner 4 Data'!R12)</f>
        <v>0</v>
      </c>
    </row>
    <row r="13" spans="1:18" x14ac:dyDescent="0.25">
      <c r="A13" s="578" t="s">
        <v>45</v>
      </c>
      <c r="B13" s="579"/>
      <c r="C13" s="100">
        <f>SUM(D13:R13)</f>
        <v>0</v>
      </c>
      <c r="D13" s="116">
        <f>SUM('Partner 2 Data'!D13,'Partner 3 Data'!D13,'Partner 1 Data'!D13,'Partner 4 Data'!D13)</f>
        <v>0</v>
      </c>
      <c r="E13" s="116">
        <f>SUM('Partner 2 Data'!E13,'Partner 3 Data'!E13,'Partner 1 Data'!E13,'Partner 4 Data'!E13)</f>
        <v>0</v>
      </c>
      <c r="F13" s="116">
        <f>SUM('Partner 2 Data'!F13,'Partner 3 Data'!F13,'Partner 1 Data'!F13,'Partner 4 Data'!F13)</f>
        <v>0</v>
      </c>
      <c r="G13" s="116">
        <f>SUM('Partner 2 Data'!G13,'Partner 3 Data'!G13,'Partner 1 Data'!G13,'Partner 4 Data'!G13)</f>
        <v>0</v>
      </c>
      <c r="H13" s="116">
        <f>SUM('Partner 2 Data'!H13,'Partner 3 Data'!H13,'Partner 1 Data'!H13,'Partner 4 Data'!H13)</f>
        <v>0</v>
      </c>
      <c r="I13" s="116">
        <f>SUM('Partner 2 Data'!I13,'Partner 3 Data'!I13,'Partner 1 Data'!I13,'Partner 4 Data'!I13)</f>
        <v>0</v>
      </c>
      <c r="J13" s="116">
        <f>SUM('Partner 2 Data'!J13,'Partner 3 Data'!J13,'Partner 1 Data'!J13,'Partner 4 Data'!J13)</f>
        <v>0</v>
      </c>
      <c r="K13" s="116">
        <f>SUM('Partner 2 Data'!K13,'Partner 3 Data'!K13,'Partner 1 Data'!K13,'Partner 4 Data'!K13)</f>
        <v>0</v>
      </c>
      <c r="L13" s="116">
        <f>SUM('Partner 2 Data'!L13,'Partner 3 Data'!L13,'Partner 1 Data'!L13,'Partner 4 Data'!L13)</f>
        <v>0</v>
      </c>
      <c r="M13" s="116">
        <f>SUM('Partner 2 Data'!M13,'Partner 3 Data'!M13,'Partner 1 Data'!M13,'Partner 4 Data'!M13)</f>
        <v>0</v>
      </c>
      <c r="N13" s="116">
        <f>SUM('Partner 2 Data'!N13,'Partner 3 Data'!N13,'Partner 1 Data'!N13,'Partner 4 Data'!N13)</f>
        <v>0</v>
      </c>
      <c r="O13" s="116">
        <f>SUM('Partner 2 Data'!O13,'Partner 3 Data'!O13,'Partner 1 Data'!O13,'Partner 4 Data'!O13)</f>
        <v>0</v>
      </c>
      <c r="P13" s="116">
        <f>SUM('Partner 2 Data'!P13,'Partner 3 Data'!P13,'Partner 1 Data'!P13,'Partner 4 Data'!P13)</f>
        <v>0</v>
      </c>
      <c r="Q13" s="116">
        <f>SUM('Partner 2 Data'!Q13,'Partner 3 Data'!Q13,'Partner 1 Data'!Q13,'Partner 4 Data'!Q13)</f>
        <v>0</v>
      </c>
      <c r="R13" s="435">
        <f>SUM('Partner 2 Data'!R13,'Partner 3 Data'!R13,'Partner 1 Data'!R13,'Partner 4 Data'!R13)</f>
        <v>0</v>
      </c>
    </row>
    <row r="14" spans="1:18" ht="15.75" thickBot="1" x14ac:dyDescent="0.3">
      <c r="A14" s="574" t="s">
        <v>46</v>
      </c>
      <c r="B14" s="575"/>
      <c r="C14" s="102">
        <f>SUM(D14:R14)</f>
        <v>0</v>
      </c>
      <c r="D14" s="116">
        <f>SUM('Partner 2 Data'!D14,'Partner 3 Data'!D14,'Partner 1 Data'!D14,'Partner 4 Data'!D14)</f>
        <v>0</v>
      </c>
      <c r="E14" s="116">
        <f>SUM('Partner 2 Data'!E14,'Partner 3 Data'!E14,'Partner 1 Data'!E14,'Partner 4 Data'!E14)</f>
        <v>0</v>
      </c>
      <c r="F14" s="116">
        <f>SUM('Partner 2 Data'!F14,'Partner 3 Data'!F14,'Partner 1 Data'!F14,'Partner 4 Data'!F14)</f>
        <v>0</v>
      </c>
      <c r="G14" s="116">
        <f>SUM('Partner 2 Data'!G14,'Partner 3 Data'!G14,'Partner 1 Data'!G14,'Partner 4 Data'!G14)</f>
        <v>0</v>
      </c>
      <c r="H14" s="116">
        <f>SUM('Partner 2 Data'!H14,'Partner 3 Data'!H14,'Partner 1 Data'!H14,'Partner 4 Data'!H14)</f>
        <v>0</v>
      </c>
      <c r="I14" s="116">
        <f>SUM('Partner 2 Data'!I14,'Partner 3 Data'!I14,'Partner 1 Data'!I14,'Partner 4 Data'!I14)</f>
        <v>0</v>
      </c>
      <c r="J14" s="116">
        <f>SUM('Partner 2 Data'!J14,'Partner 3 Data'!J14,'Partner 1 Data'!J14,'Partner 4 Data'!J14)</f>
        <v>0</v>
      </c>
      <c r="K14" s="116">
        <f>SUM('Partner 2 Data'!K14,'Partner 3 Data'!K14,'Partner 1 Data'!K14,'Partner 4 Data'!K14)</f>
        <v>0</v>
      </c>
      <c r="L14" s="116">
        <f>SUM('Partner 2 Data'!L14,'Partner 3 Data'!L14,'Partner 1 Data'!L14,'Partner 4 Data'!L14)</f>
        <v>0</v>
      </c>
      <c r="M14" s="116">
        <f>SUM('Partner 2 Data'!M14,'Partner 3 Data'!M14,'Partner 1 Data'!M14,'Partner 4 Data'!M14)</f>
        <v>0</v>
      </c>
      <c r="N14" s="116">
        <f>SUM('Partner 2 Data'!N14,'Partner 3 Data'!N14,'Partner 1 Data'!N14,'Partner 4 Data'!N14)</f>
        <v>0</v>
      </c>
      <c r="O14" s="116">
        <f>SUM('Partner 2 Data'!O14,'Partner 3 Data'!O14,'Partner 1 Data'!O14,'Partner 4 Data'!O14)</f>
        <v>0</v>
      </c>
      <c r="P14" s="116">
        <f>SUM('Partner 2 Data'!P14,'Partner 3 Data'!P14,'Partner 1 Data'!P14,'Partner 4 Data'!P14)</f>
        <v>0</v>
      </c>
      <c r="Q14" s="116">
        <f>SUM('Partner 2 Data'!Q14,'Partner 3 Data'!Q14,'Partner 1 Data'!Q14,'Partner 4 Data'!Q14)</f>
        <v>0</v>
      </c>
      <c r="R14" s="435">
        <f>SUM('Partner 2 Data'!R14,'Partner 3 Data'!R14,'Partner 1 Data'!R14,'Partner 4 Data'!R14)</f>
        <v>0</v>
      </c>
    </row>
    <row r="15" spans="1:18" ht="16.5" thickBot="1" x14ac:dyDescent="0.3">
      <c r="A15" s="572" t="s">
        <v>47</v>
      </c>
      <c r="B15" s="580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10"/>
      <c r="N15" s="110"/>
      <c r="O15" s="110"/>
      <c r="P15" s="110"/>
      <c r="Q15" s="110"/>
      <c r="R15" s="436"/>
    </row>
    <row r="16" spans="1:18" x14ac:dyDescent="0.25">
      <c r="A16" s="576" t="s">
        <v>48</v>
      </c>
      <c r="B16" s="577"/>
      <c r="C16" s="100">
        <f>SUM(D16:R16)</f>
        <v>0</v>
      </c>
      <c r="D16" s="116">
        <f>SUM('Partner 2 Data'!D16,'Partner 3 Data'!D16,'Partner 1 Data'!D16,'Partner 4 Data'!D16)</f>
        <v>0</v>
      </c>
      <c r="E16" s="116">
        <f>SUM('Partner 2 Data'!E16,'Partner 3 Data'!E16,'Partner 1 Data'!E16,'Partner 4 Data'!E16)</f>
        <v>0</v>
      </c>
      <c r="F16" s="116">
        <f>SUM('Partner 2 Data'!F16,'Partner 3 Data'!F16,'Partner 1 Data'!F16,'Partner 4 Data'!F16)</f>
        <v>0</v>
      </c>
      <c r="G16" s="116">
        <f>SUM('Partner 2 Data'!G16,'Partner 3 Data'!G16,'Partner 1 Data'!G16,'Partner 4 Data'!G16)</f>
        <v>0</v>
      </c>
      <c r="H16" s="116">
        <f>SUM('Partner 2 Data'!H16,'Partner 3 Data'!H16,'Partner 1 Data'!H16,'Partner 4 Data'!H16)</f>
        <v>0</v>
      </c>
      <c r="I16" s="116">
        <f>SUM('Partner 2 Data'!I16,'Partner 3 Data'!I16,'Partner 1 Data'!I16,'Partner 4 Data'!I16)</f>
        <v>0</v>
      </c>
      <c r="J16" s="116">
        <f>SUM('Partner 2 Data'!J16,'Partner 3 Data'!J16,'Partner 1 Data'!J16,'Partner 4 Data'!J16)</f>
        <v>0</v>
      </c>
      <c r="K16" s="116">
        <f>SUM('Partner 2 Data'!K16,'Partner 3 Data'!K16,'Partner 1 Data'!K16,'Partner 4 Data'!K16)</f>
        <v>0</v>
      </c>
      <c r="L16" s="116">
        <f>SUM('Partner 2 Data'!L16,'Partner 3 Data'!L16,'Partner 1 Data'!L16,'Partner 4 Data'!L16)</f>
        <v>0</v>
      </c>
      <c r="M16" s="116">
        <f>SUM('Partner 2 Data'!M16,'Partner 3 Data'!M16,'Partner 1 Data'!M16,'Partner 4 Data'!M16)</f>
        <v>0</v>
      </c>
      <c r="N16" s="116">
        <f>SUM('Partner 2 Data'!N16,'Partner 3 Data'!N16,'Partner 1 Data'!N16,'Partner 4 Data'!N16)</f>
        <v>0</v>
      </c>
      <c r="O16" s="116">
        <f>SUM('Partner 2 Data'!O16,'Partner 3 Data'!O16,'Partner 1 Data'!O16,'Partner 4 Data'!O16)</f>
        <v>0</v>
      </c>
      <c r="P16" s="116">
        <f>SUM('Partner 2 Data'!P16,'Partner 3 Data'!P16,'Partner 1 Data'!P16,'Partner 4 Data'!P16)</f>
        <v>0</v>
      </c>
      <c r="Q16" s="116">
        <f>SUM('Partner 2 Data'!Q16,'Partner 3 Data'!Q16,'Partner 1 Data'!Q16,'Partner 4 Data'!Q16)</f>
        <v>0</v>
      </c>
      <c r="R16" s="435">
        <f>SUM('Partner 2 Data'!R16,'Partner 3 Data'!R16,'Partner 1 Data'!R16,'Partner 4 Data'!R16)</f>
        <v>0</v>
      </c>
    </row>
    <row r="17" spans="1:18" x14ac:dyDescent="0.25">
      <c r="A17" s="578" t="s">
        <v>49</v>
      </c>
      <c r="B17" s="579"/>
      <c r="C17" s="100">
        <f>SUM(D17:R17)</f>
        <v>0</v>
      </c>
      <c r="D17" s="116">
        <f>SUM('Partner 2 Data'!D17,'Partner 3 Data'!D17,'Partner 1 Data'!D17,'Partner 4 Data'!D17)</f>
        <v>0</v>
      </c>
      <c r="E17" s="116">
        <f>SUM('Partner 2 Data'!E17,'Partner 3 Data'!E17,'Partner 1 Data'!E17,'Partner 4 Data'!E17)</f>
        <v>0</v>
      </c>
      <c r="F17" s="116">
        <f>SUM('Partner 2 Data'!F17,'Partner 3 Data'!F17,'Partner 1 Data'!F17,'Partner 4 Data'!F17)</f>
        <v>0</v>
      </c>
      <c r="G17" s="116">
        <f>SUM('Partner 2 Data'!G17,'Partner 3 Data'!G17,'Partner 1 Data'!G17,'Partner 4 Data'!G17)</f>
        <v>0</v>
      </c>
      <c r="H17" s="116">
        <f>SUM('Partner 2 Data'!H17,'Partner 3 Data'!H17,'Partner 1 Data'!H17,'Partner 4 Data'!H17)</f>
        <v>0</v>
      </c>
      <c r="I17" s="116">
        <f>SUM('Partner 2 Data'!I17,'Partner 3 Data'!I17,'Partner 1 Data'!I17,'Partner 4 Data'!I17)</f>
        <v>0</v>
      </c>
      <c r="J17" s="116">
        <f>SUM('Partner 2 Data'!J17,'Partner 3 Data'!J17,'Partner 1 Data'!J17,'Partner 4 Data'!J17)</f>
        <v>0</v>
      </c>
      <c r="K17" s="116">
        <f>SUM('Partner 2 Data'!K17,'Partner 3 Data'!K17,'Partner 1 Data'!K17,'Partner 4 Data'!K17)</f>
        <v>0</v>
      </c>
      <c r="L17" s="116">
        <f>SUM('Partner 2 Data'!L17,'Partner 3 Data'!L17,'Partner 1 Data'!L17,'Partner 4 Data'!L17)</f>
        <v>0</v>
      </c>
      <c r="M17" s="116">
        <f>SUM('Partner 2 Data'!M17,'Partner 3 Data'!M17,'Partner 1 Data'!M17,'Partner 4 Data'!M17)</f>
        <v>0</v>
      </c>
      <c r="N17" s="116">
        <f>SUM('Partner 2 Data'!N17,'Partner 3 Data'!N17,'Partner 1 Data'!N17,'Partner 4 Data'!N17)</f>
        <v>0</v>
      </c>
      <c r="O17" s="116">
        <f>SUM('Partner 2 Data'!O17,'Partner 3 Data'!O17,'Partner 1 Data'!O17,'Partner 4 Data'!O17)</f>
        <v>0</v>
      </c>
      <c r="P17" s="116">
        <f>SUM('Partner 2 Data'!P17,'Partner 3 Data'!P17,'Partner 1 Data'!P17,'Partner 4 Data'!P17)</f>
        <v>0</v>
      </c>
      <c r="Q17" s="116">
        <f>SUM('Partner 2 Data'!Q17,'Partner 3 Data'!Q17,'Partner 1 Data'!Q17,'Partner 4 Data'!Q17)</f>
        <v>0</v>
      </c>
      <c r="R17" s="435">
        <f>SUM('Partner 2 Data'!R17,'Partner 3 Data'!R17,'Partner 1 Data'!R17,'Partner 4 Data'!R17)</f>
        <v>0</v>
      </c>
    </row>
    <row r="18" spans="1:18" ht="15.75" thickBot="1" x14ac:dyDescent="0.3">
      <c r="A18" s="574" t="s">
        <v>41</v>
      </c>
      <c r="B18" s="575"/>
      <c r="C18" s="100">
        <f>SUM(D18:R18)</f>
        <v>0</v>
      </c>
      <c r="D18" s="116">
        <f>SUM('Partner 2 Data'!D18,'Partner 3 Data'!D18,'Partner 1 Data'!D18,'Partner 4 Data'!D18)</f>
        <v>0</v>
      </c>
      <c r="E18" s="116">
        <f>SUM('Partner 2 Data'!E18,'Partner 3 Data'!E18,'Partner 1 Data'!E18,'Partner 4 Data'!E18)</f>
        <v>0</v>
      </c>
      <c r="F18" s="116">
        <f>SUM('Partner 2 Data'!F18,'Partner 3 Data'!F18,'Partner 1 Data'!F18,'Partner 4 Data'!F18)</f>
        <v>0</v>
      </c>
      <c r="G18" s="116">
        <f>SUM('Partner 2 Data'!G18,'Partner 3 Data'!G18,'Partner 1 Data'!G18,'Partner 4 Data'!G18)</f>
        <v>0</v>
      </c>
      <c r="H18" s="116">
        <f>SUM('Partner 2 Data'!H18,'Partner 3 Data'!H18,'Partner 1 Data'!H18,'Partner 4 Data'!H18)</f>
        <v>0</v>
      </c>
      <c r="I18" s="116">
        <f>SUM('Partner 2 Data'!I18,'Partner 3 Data'!I18,'Partner 1 Data'!I18,'Partner 4 Data'!I18)</f>
        <v>0</v>
      </c>
      <c r="J18" s="116">
        <f>SUM('Partner 2 Data'!J18,'Partner 3 Data'!J18,'Partner 1 Data'!J18,'Partner 4 Data'!J18)</f>
        <v>0</v>
      </c>
      <c r="K18" s="116">
        <f>SUM('Partner 2 Data'!K18,'Partner 3 Data'!K18,'Partner 1 Data'!K18,'Partner 4 Data'!K18)</f>
        <v>0</v>
      </c>
      <c r="L18" s="116">
        <f>SUM('Partner 2 Data'!L18,'Partner 3 Data'!L18,'Partner 1 Data'!L18,'Partner 4 Data'!L18)</f>
        <v>0</v>
      </c>
      <c r="M18" s="116">
        <f>SUM('Partner 2 Data'!M18,'Partner 3 Data'!M18,'Partner 1 Data'!M18,'Partner 4 Data'!M18)</f>
        <v>0</v>
      </c>
      <c r="N18" s="116">
        <f>SUM('Partner 2 Data'!N18,'Partner 3 Data'!N18,'Partner 1 Data'!N18,'Partner 4 Data'!N18)</f>
        <v>0</v>
      </c>
      <c r="O18" s="116">
        <f>SUM('Partner 2 Data'!O18,'Partner 3 Data'!O18,'Partner 1 Data'!O18,'Partner 4 Data'!O18)</f>
        <v>0</v>
      </c>
      <c r="P18" s="116">
        <f>SUM('Partner 2 Data'!P18,'Partner 3 Data'!P18,'Partner 1 Data'!P18,'Partner 4 Data'!P18)</f>
        <v>0</v>
      </c>
      <c r="Q18" s="116">
        <f>SUM('Partner 2 Data'!Q18,'Partner 3 Data'!Q18,'Partner 1 Data'!Q18,'Partner 4 Data'!Q18)</f>
        <v>0</v>
      </c>
      <c r="R18" s="435">
        <f>SUM('Partner 2 Data'!R18,'Partner 3 Data'!R18,'Partner 1 Data'!R18,'Partner 4 Data'!R18)</f>
        <v>0</v>
      </c>
    </row>
    <row r="19" spans="1:18" ht="16.5" thickBot="1" x14ac:dyDescent="0.3">
      <c r="A19" s="572" t="s">
        <v>50</v>
      </c>
      <c r="B19" s="580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10"/>
      <c r="N19" s="110"/>
      <c r="O19" s="110"/>
      <c r="P19" s="110"/>
      <c r="Q19" s="110"/>
      <c r="R19" s="436"/>
    </row>
    <row r="20" spans="1:18" x14ac:dyDescent="0.25">
      <c r="A20" s="576" t="s">
        <v>48</v>
      </c>
      <c r="B20" s="577"/>
      <c r="C20" s="100">
        <f>SUM(D20:R20)</f>
        <v>0</v>
      </c>
      <c r="D20" s="116">
        <f>SUM('Partner 2 Data'!D20,'Partner 3 Data'!D20,'Partner 1 Data'!D20,'Partner 4 Data'!D20)</f>
        <v>0</v>
      </c>
      <c r="E20" s="116">
        <f>SUM('Partner 2 Data'!E20,'Partner 3 Data'!E20,'Partner 1 Data'!E20,'Partner 4 Data'!E20)</f>
        <v>0</v>
      </c>
      <c r="F20" s="116">
        <f>SUM('Partner 2 Data'!F20,'Partner 3 Data'!F20,'Partner 1 Data'!F20,'Partner 4 Data'!F20)</f>
        <v>0</v>
      </c>
      <c r="G20" s="116">
        <f>SUM('Partner 2 Data'!G20,'Partner 3 Data'!G20,'Partner 1 Data'!G20,'Partner 4 Data'!G20)</f>
        <v>0</v>
      </c>
      <c r="H20" s="116">
        <f>SUM('Partner 2 Data'!H20,'Partner 3 Data'!H20,'Partner 1 Data'!H20,'Partner 4 Data'!H20)</f>
        <v>0</v>
      </c>
      <c r="I20" s="116">
        <f>SUM('Partner 2 Data'!I20,'Partner 3 Data'!I20,'Partner 1 Data'!I20,'Partner 4 Data'!I20)</f>
        <v>0</v>
      </c>
      <c r="J20" s="116">
        <f>SUM('Partner 2 Data'!J20,'Partner 3 Data'!J20,'Partner 1 Data'!J20,'Partner 4 Data'!J20)</f>
        <v>0</v>
      </c>
      <c r="K20" s="116">
        <f>SUM('Partner 2 Data'!K20,'Partner 3 Data'!K20,'Partner 1 Data'!K20,'Partner 4 Data'!K20)</f>
        <v>0</v>
      </c>
      <c r="L20" s="116">
        <f>SUM('Partner 2 Data'!L20,'Partner 3 Data'!L20,'Partner 1 Data'!L20,'Partner 4 Data'!L20)</f>
        <v>0</v>
      </c>
      <c r="M20" s="116">
        <f>SUM('Partner 2 Data'!M20,'Partner 3 Data'!M20,'Partner 1 Data'!M20,'Partner 4 Data'!M20)</f>
        <v>0</v>
      </c>
      <c r="N20" s="116">
        <f>SUM('Partner 2 Data'!N20,'Partner 3 Data'!N20,'Partner 1 Data'!N20,'Partner 4 Data'!N20)</f>
        <v>0</v>
      </c>
      <c r="O20" s="116">
        <f>SUM('Partner 2 Data'!O20,'Partner 3 Data'!O20,'Partner 1 Data'!O20,'Partner 4 Data'!O20)</f>
        <v>0</v>
      </c>
      <c r="P20" s="116">
        <f>SUM('Partner 2 Data'!P20,'Partner 3 Data'!P20,'Partner 1 Data'!P20,'Partner 4 Data'!P20)</f>
        <v>0</v>
      </c>
      <c r="Q20" s="116">
        <f>SUM('Partner 2 Data'!Q20,'Partner 3 Data'!Q20,'Partner 1 Data'!Q20,'Partner 4 Data'!Q20)</f>
        <v>0</v>
      </c>
      <c r="R20" s="435">
        <f>SUM('Partner 2 Data'!R20,'Partner 3 Data'!R20,'Partner 1 Data'!R20,'Partner 4 Data'!R20)</f>
        <v>0</v>
      </c>
    </row>
    <row r="21" spans="1:18" x14ac:dyDescent="0.25">
      <c r="A21" s="579" t="s">
        <v>49</v>
      </c>
      <c r="B21" s="579"/>
      <c r="C21" s="100">
        <f>SUM(D21:R21)</f>
        <v>0</v>
      </c>
      <c r="D21" s="116">
        <f>SUM('Partner 2 Data'!D21,'Partner 3 Data'!D21,'Partner 1 Data'!D21,'Partner 4 Data'!D21)</f>
        <v>0</v>
      </c>
      <c r="E21" s="116">
        <f>SUM('Partner 2 Data'!E21,'Partner 3 Data'!E21,'Partner 1 Data'!E21,'Partner 4 Data'!E21)</f>
        <v>0</v>
      </c>
      <c r="F21" s="116">
        <f>SUM('Partner 2 Data'!F21,'Partner 3 Data'!F21,'Partner 1 Data'!F21,'Partner 4 Data'!F21)</f>
        <v>0</v>
      </c>
      <c r="G21" s="116">
        <f>SUM('Partner 2 Data'!G21,'Partner 3 Data'!G21,'Partner 1 Data'!G21,'Partner 4 Data'!G21)</f>
        <v>0</v>
      </c>
      <c r="H21" s="116">
        <f>SUM('Partner 2 Data'!H21,'Partner 3 Data'!H21,'Partner 1 Data'!H21,'Partner 4 Data'!H21)</f>
        <v>0</v>
      </c>
      <c r="I21" s="116">
        <f>SUM('Partner 2 Data'!I21,'Partner 3 Data'!I21,'Partner 1 Data'!I21,'Partner 4 Data'!I21)</f>
        <v>0</v>
      </c>
      <c r="J21" s="116">
        <f>SUM('Partner 2 Data'!J21,'Partner 3 Data'!J21,'Partner 1 Data'!J21,'Partner 4 Data'!J21)</f>
        <v>0</v>
      </c>
      <c r="K21" s="116">
        <f>SUM('Partner 2 Data'!K21,'Partner 3 Data'!K21,'Partner 1 Data'!K21,'Partner 4 Data'!K21)</f>
        <v>0</v>
      </c>
      <c r="L21" s="116">
        <f>SUM('Partner 2 Data'!L21,'Partner 3 Data'!L21,'Partner 1 Data'!L21,'Partner 4 Data'!L21)</f>
        <v>0</v>
      </c>
      <c r="M21" s="116">
        <f>SUM('Partner 2 Data'!M21,'Partner 3 Data'!M21,'Partner 1 Data'!M21,'Partner 4 Data'!M21)</f>
        <v>0</v>
      </c>
      <c r="N21" s="116">
        <f>SUM('Partner 2 Data'!N21,'Partner 3 Data'!N21,'Partner 1 Data'!N21,'Partner 4 Data'!N21)</f>
        <v>0</v>
      </c>
      <c r="O21" s="116">
        <f>SUM('Partner 2 Data'!O21,'Partner 3 Data'!O21,'Partner 1 Data'!O21,'Partner 4 Data'!O21)</f>
        <v>0</v>
      </c>
      <c r="P21" s="116">
        <f>SUM('Partner 2 Data'!P21,'Partner 3 Data'!P21,'Partner 1 Data'!P21,'Partner 4 Data'!P21)</f>
        <v>0</v>
      </c>
      <c r="Q21" s="116">
        <f>SUM('Partner 2 Data'!Q21,'Partner 3 Data'!Q21,'Partner 1 Data'!Q21,'Partner 4 Data'!Q21)</f>
        <v>0</v>
      </c>
      <c r="R21" s="435">
        <f>SUM('Partner 2 Data'!R21,'Partner 3 Data'!R21,'Partner 1 Data'!R21,'Partner 4 Data'!R21)</f>
        <v>0</v>
      </c>
    </row>
    <row r="22" spans="1:18" ht="15.75" thickBot="1" x14ac:dyDescent="0.3">
      <c r="A22" s="574" t="s">
        <v>41</v>
      </c>
      <c r="B22" s="575"/>
      <c r="C22" s="100">
        <f>SUM(D22:R22)</f>
        <v>0</v>
      </c>
      <c r="D22" s="116">
        <f>SUM('Partner 2 Data'!D22,'Partner 3 Data'!D22,'Partner 1 Data'!D22,'Partner 4 Data'!D22)</f>
        <v>0</v>
      </c>
      <c r="E22" s="116">
        <f>SUM('Partner 2 Data'!E22,'Partner 3 Data'!E22,'Partner 1 Data'!E22,'Partner 4 Data'!E22)</f>
        <v>0</v>
      </c>
      <c r="F22" s="116">
        <f>SUM('Partner 2 Data'!F22,'Partner 3 Data'!F22,'Partner 1 Data'!F22,'Partner 4 Data'!F22)</f>
        <v>0</v>
      </c>
      <c r="G22" s="116">
        <f>SUM('Partner 2 Data'!G22,'Partner 3 Data'!G22,'Partner 1 Data'!G22,'Partner 4 Data'!G22)</f>
        <v>0</v>
      </c>
      <c r="H22" s="116">
        <f>SUM('Partner 2 Data'!H22,'Partner 3 Data'!H22,'Partner 1 Data'!H22,'Partner 4 Data'!H22)</f>
        <v>0</v>
      </c>
      <c r="I22" s="116">
        <f>SUM('Partner 2 Data'!I22,'Partner 3 Data'!I22,'Partner 1 Data'!I22,'Partner 4 Data'!I22)</f>
        <v>0</v>
      </c>
      <c r="J22" s="116">
        <f>SUM('Partner 2 Data'!J22,'Partner 3 Data'!J22,'Partner 1 Data'!J22,'Partner 4 Data'!J22)</f>
        <v>0</v>
      </c>
      <c r="K22" s="116">
        <f>SUM('Partner 2 Data'!K22,'Partner 3 Data'!K22,'Partner 1 Data'!K22,'Partner 4 Data'!K22)</f>
        <v>0</v>
      </c>
      <c r="L22" s="116">
        <f>SUM('Partner 2 Data'!L22,'Partner 3 Data'!L22,'Partner 1 Data'!L22,'Partner 4 Data'!L22)</f>
        <v>0</v>
      </c>
      <c r="M22" s="116">
        <f>SUM('Partner 2 Data'!M22,'Partner 3 Data'!M22,'Partner 1 Data'!M22,'Partner 4 Data'!M22)</f>
        <v>0</v>
      </c>
      <c r="N22" s="116">
        <f>SUM('Partner 2 Data'!N22,'Partner 3 Data'!N22,'Partner 1 Data'!N22,'Partner 4 Data'!N22)</f>
        <v>0</v>
      </c>
      <c r="O22" s="116">
        <f>SUM('Partner 2 Data'!O22,'Partner 3 Data'!O22,'Partner 1 Data'!O22,'Partner 4 Data'!O22)</f>
        <v>0</v>
      </c>
      <c r="P22" s="116">
        <f>SUM('Partner 2 Data'!P22,'Partner 3 Data'!P22,'Partner 1 Data'!P22,'Partner 4 Data'!P22)</f>
        <v>0</v>
      </c>
      <c r="Q22" s="116">
        <f>SUM('Partner 2 Data'!Q22,'Partner 3 Data'!Q22,'Partner 1 Data'!Q22,'Partner 4 Data'!Q22)</f>
        <v>0</v>
      </c>
      <c r="R22" s="435">
        <f>SUM('Partner 2 Data'!R22,'Partner 3 Data'!R22,'Partner 1 Data'!R22,'Partner 4 Data'!R22)</f>
        <v>0</v>
      </c>
    </row>
    <row r="23" spans="1:18" ht="16.5" thickBot="1" x14ac:dyDescent="0.3">
      <c r="A23" s="572" t="s">
        <v>51</v>
      </c>
      <c r="B23" s="580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10"/>
      <c r="O23" s="110"/>
      <c r="P23" s="110"/>
      <c r="Q23" s="110"/>
      <c r="R23" s="436"/>
    </row>
    <row r="24" spans="1:18" x14ac:dyDescent="0.25">
      <c r="A24" s="79" t="s">
        <v>48</v>
      </c>
      <c r="B24" s="80"/>
      <c r="C24" s="100">
        <f>SUM(D24:R24)</f>
        <v>0</v>
      </c>
      <c r="D24" s="116">
        <f>SUM('Partner 2 Data'!D24,'Partner 3 Data'!D24,'Partner 1 Data'!D24,'Partner 4 Data'!D24)</f>
        <v>0</v>
      </c>
      <c r="E24" s="116">
        <f>SUM('Partner 2 Data'!E24,'Partner 3 Data'!E24,'Partner 1 Data'!E24,'Partner 4 Data'!E24)</f>
        <v>0</v>
      </c>
      <c r="F24" s="116">
        <f>SUM('Partner 2 Data'!F24,'Partner 3 Data'!F24,'Partner 1 Data'!F24,'Partner 4 Data'!F24)</f>
        <v>0</v>
      </c>
      <c r="G24" s="116">
        <f>SUM('Partner 2 Data'!G24,'Partner 3 Data'!G24,'Partner 1 Data'!G24,'Partner 4 Data'!G24)</f>
        <v>0</v>
      </c>
      <c r="H24" s="116">
        <f>SUM('Partner 2 Data'!H24,'Partner 3 Data'!H24,'Partner 1 Data'!H24,'Partner 4 Data'!H24)</f>
        <v>0</v>
      </c>
      <c r="I24" s="116">
        <f>SUM('Partner 2 Data'!I24,'Partner 3 Data'!I24,'Partner 1 Data'!I24,'Partner 4 Data'!I24)</f>
        <v>0</v>
      </c>
      <c r="J24" s="116">
        <f>SUM('Partner 2 Data'!J24,'Partner 3 Data'!J24,'Partner 1 Data'!J24,'Partner 4 Data'!J24)</f>
        <v>0</v>
      </c>
      <c r="K24" s="116">
        <f>SUM('Partner 2 Data'!K24,'Partner 3 Data'!K24,'Partner 1 Data'!K24,'Partner 4 Data'!K24)</f>
        <v>0</v>
      </c>
      <c r="L24" s="116">
        <f>SUM('Partner 2 Data'!L24,'Partner 3 Data'!L24,'Partner 1 Data'!L24,'Partner 4 Data'!L24)</f>
        <v>0</v>
      </c>
      <c r="M24" s="116">
        <f>SUM('Partner 2 Data'!M24,'Partner 3 Data'!M24,'Partner 1 Data'!M24,'Partner 4 Data'!M24)</f>
        <v>0</v>
      </c>
      <c r="N24" s="116">
        <f>SUM('Partner 2 Data'!N24,'Partner 3 Data'!N24,'Partner 1 Data'!N24,'Partner 4 Data'!N24)</f>
        <v>0</v>
      </c>
      <c r="O24" s="116">
        <f>SUM('Partner 2 Data'!O24,'Partner 3 Data'!O24,'Partner 1 Data'!O24,'Partner 4 Data'!O24)</f>
        <v>0</v>
      </c>
      <c r="P24" s="116">
        <f>SUM('Partner 2 Data'!P24,'Partner 3 Data'!P24,'Partner 1 Data'!P24,'Partner 4 Data'!P24)</f>
        <v>0</v>
      </c>
      <c r="Q24" s="116">
        <f>SUM('Partner 2 Data'!Q24,'Partner 3 Data'!Q24,'Partner 1 Data'!Q24,'Partner 4 Data'!Q24)</f>
        <v>0</v>
      </c>
      <c r="R24" s="435">
        <f>SUM('Partner 2 Data'!R24,'Partner 3 Data'!R24,'Partner 1 Data'!R24,'Partner 4 Data'!R24)</f>
        <v>0</v>
      </c>
    </row>
    <row r="25" spans="1:18" x14ac:dyDescent="0.25">
      <c r="A25" s="81" t="s">
        <v>49</v>
      </c>
      <c r="B25" s="82"/>
      <c r="C25" s="100">
        <f>SUM(D25:R25)</f>
        <v>0</v>
      </c>
      <c r="D25" s="116">
        <f>SUM('Partner 2 Data'!D25,'Partner 3 Data'!D25,'Partner 1 Data'!D25,'Partner 4 Data'!D25)</f>
        <v>0</v>
      </c>
      <c r="E25" s="116">
        <f>SUM('Partner 2 Data'!E25,'Partner 3 Data'!E25,'Partner 1 Data'!E25,'Partner 4 Data'!E25)</f>
        <v>0</v>
      </c>
      <c r="F25" s="116">
        <f>SUM('Partner 2 Data'!F25,'Partner 3 Data'!F25,'Partner 1 Data'!F25,'Partner 4 Data'!F25)</f>
        <v>0</v>
      </c>
      <c r="G25" s="116">
        <f>SUM('Partner 2 Data'!G25,'Partner 3 Data'!G25,'Partner 1 Data'!G25,'Partner 4 Data'!G25)</f>
        <v>0</v>
      </c>
      <c r="H25" s="116">
        <f>SUM('Partner 2 Data'!H25,'Partner 3 Data'!H25,'Partner 1 Data'!H25,'Partner 4 Data'!H25)</f>
        <v>0</v>
      </c>
      <c r="I25" s="116">
        <f>SUM('Partner 2 Data'!I25,'Partner 3 Data'!I25,'Partner 1 Data'!I25,'Partner 4 Data'!I25)</f>
        <v>0</v>
      </c>
      <c r="J25" s="116">
        <f>SUM('Partner 2 Data'!J25,'Partner 3 Data'!J25,'Partner 1 Data'!J25,'Partner 4 Data'!J25)</f>
        <v>0</v>
      </c>
      <c r="K25" s="116">
        <f>SUM('Partner 2 Data'!K25,'Partner 3 Data'!K25,'Partner 1 Data'!K25,'Partner 4 Data'!K25)</f>
        <v>0</v>
      </c>
      <c r="L25" s="116">
        <f>SUM('Partner 2 Data'!L25,'Partner 3 Data'!L25,'Partner 1 Data'!L25,'Partner 4 Data'!L25)</f>
        <v>0</v>
      </c>
      <c r="M25" s="116">
        <f>SUM('Partner 2 Data'!M25,'Partner 3 Data'!M25,'Partner 1 Data'!M25,'Partner 4 Data'!M25)</f>
        <v>0</v>
      </c>
      <c r="N25" s="116">
        <f>SUM('Partner 2 Data'!N25,'Partner 3 Data'!N25,'Partner 1 Data'!N25,'Partner 4 Data'!N25)</f>
        <v>0</v>
      </c>
      <c r="O25" s="116">
        <f>SUM('Partner 2 Data'!O25,'Partner 3 Data'!O25,'Partner 1 Data'!O25,'Partner 4 Data'!O25)</f>
        <v>0</v>
      </c>
      <c r="P25" s="116">
        <f>SUM('Partner 2 Data'!P25,'Partner 3 Data'!P25,'Partner 1 Data'!P25,'Partner 4 Data'!P25)</f>
        <v>0</v>
      </c>
      <c r="Q25" s="116">
        <f>SUM('Partner 2 Data'!Q25,'Partner 3 Data'!Q25,'Partner 1 Data'!Q25,'Partner 4 Data'!Q25)</f>
        <v>0</v>
      </c>
      <c r="R25" s="435">
        <f>SUM('Partner 2 Data'!R25,'Partner 3 Data'!R25,'Partner 1 Data'!R25,'Partner 4 Data'!R25)</f>
        <v>0</v>
      </c>
    </row>
    <row r="26" spans="1:18" ht="15.75" thickBot="1" x14ac:dyDescent="0.3">
      <c r="A26" s="83" t="s">
        <v>41</v>
      </c>
      <c r="B26" s="84"/>
      <c r="C26" s="100">
        <f>SUM(D26:R26)</f>
        <v>0</v>
      </c>
      <c r="D26" s="116">
        <f>SUM('Partner 2 Data'!D26,'Partner 3 Data'!D26,'Partner 1 Data'!D26,'Partner 4 Data'!D26)</f>
        <v>0</v>
      </c>
      <c r="E26" s="116">
        <f>SUM('Partner 2 Data'!E26,'Partner 3 Data'!E26,'Partner 1 Data'!E26,'Partner 4 Data'!E26)</f>
        <v>0</v>
      </c>
      <c r="F26" s="116">
        <f>SUM('Partner 2 Data'!F26,'Partner 3 Data'!F26,'Partner 1 Data'!F26,'Partner 4 Data'!F26)</f>
        <v>0</v>
      </c>
      <c r="G26" s="116">
        <f>SUM('Partner 2 Data'!G26,'Partner 3 Data'!G26,'Partner 1 Data'!G26,'Partner 4 Data'!G26)</f>
        <v>0</v>
      </c>
      <c r="H26" s="116">
        <f>SUM('Partner 2 Data'!H26,'Partner 3 Data'!H26,'Partner 1 Data'!H26,'Partner 4 Data'!H26)</f>
        <v>0</v>
      </c>
      <c r="I26" s="116">
        <f>SUM('Partner 2 Data'!I26,'Partner 3 Data'!I26,'Partner 1 Data'!I26,'Partner 4 Data'!I26)</f>
        <v>0</v>
      </c>
      <c r="J26" s="116">
        <f>SUM('Partner 2 Data'!J26,'Partner 3 Data'!J26,'Partner 1 Data'!J26,'Partner 4 Data'!J26)</f>
        <v>0</v>
      </c>
      <c r="K26" s="116">
        <f>SUM('Partner 2 Data'!K26,'Partner 3 Data'!K26,'Partner 1 Data'!K26,'Partner 4 Data'!K26)</f>
        <v>0</v>
      </c>
      <c r="L26" s="116">
        <f>SUM('Partner 2 Data'!L26,'Partner 3 Data'!L26,'Partner 1 Data'!L26,'Partner 4 Data'!L26)</f>
        <v>0</v>
      </c>
      <c r="M26" s="116">
        <f>SUM('Partner 2 Data'!M26,'Partner 3 Data'!M26,'Partner 1 Data'!M26,'Partner 4 Data'!M26)</f>
        <v>0</v>
      </c>
      <c r="N26" s="116">
        <f>SUM('Partner 2 Data'!N26,'Partner 3 Data'!N26,'Partner 1 Data'!N26,'Partner 4 Data'!N26)</f>
        <v>0</v>
      </c>
      <c r="O26" s="116">
        <f>SUM('Partner 2 Data'!O26,'Partner 3 Data'!O26,'Partner 1 Data'!O26,'Partner 4 Data'!O26)</f>
        <v>0</v>
      </c>
      <c r="P26" s="116">
        <f>SUM('Partner 2 Data'!P26,'Partner 3 Data'!P26,'Partner 1 Data'!P26,'Partner 4 Data'!P26)</f>
        <v>0</v>
      </c>
      <c r="Q26" s="116">
        <f>SUM('Partner 2 Data'!Q26,'Partner 3 Data'!Q26,'Partner 1 Data'!Q26,'Partner 4 Data'!Q26)</f>
        <v>0</v>
      </c>
      <c r="R26" s="435">
        <f>SUM('Partner 2 Data'!R26,'Partner 3 Data'!R26,'Partner 1 Data'!R26,'Partner 4 Data'!R26)</f>
        <v>0</v>
      </c>
    </row>
    <row r="27" spans="1:18" ht="16.5" thickBot="1" x14ac:dyDescent="0.3">
      <c r="A27" s="112" t="s">
        <v>52</v>
      </c>
      <c r="B27" s="111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10"/>
      <c r="P27" s="110"/>
      <c r="Q27" s="110"/>
      <c r="R27" s="436"/>
    </row>
    <row r="28" spans="1:18" x14ac:dyDescent="0.25">
      <c r="A28" s="79" t="s">
        <v>48</v>
      </c>
      <c r="B28" s="80"/>
      <c r="C28" s="100">
        <f>SUM(D28:R28)</f>
        <v>0</v>
      </c>
      <c r="D28" s="116">
        <f>SUM('Partner 2 Data'!D28,'Partner 3 Data'!D28,'Partner 1 Data'!D28,'Partner 4 Data'!D28)</f>
        <v>0</v>
      </c>
      <c r="E28" s="116">
        <f>SUM('Partner 2 Data'!E28,'Partner 3 Data'!E28,'Partner 1 Data'!E28,'Partner 4 Data'!E28)</f>
        <v>0</v>
      </c>
      <c r="F28" s="116">
        <f>SUM('Partner 2 Data'!F28,'Partner 3 Data'!F28,'Partner 1 Data'!F28,'Partner 4 Data'!F28)</f>
        <v>0</v>
      </c>
      <c r="G28" s="116">
        <f>SUM('Partner 2 Data'!G28,'Partner 3 Data'!G28,'Partner 1 Data'!G28,'Partner 4 Data'!G28)</f>
        <v>0</v>
      </c>
      <c r="H28" s="116">
        <f>SUM('Partner 2 Data'!H28,'Partner 3 Data'!H28,'Partner 1 Data'!H28,'Partner 4 Data'!H28)</f>
        <v>0</v>
      </c>
      <c r="I28" s="116">
        <f>SUM('Partner 2 Data'!I28,'Partner 3 Data'!I28,'Partner 1 Data'!I28,'Partner 4 Data'!I28)</f>
        <v>0</v>
      </c>
      <c r="J28" s="116">
        <f>SUM('Partner 2 Data'!J28,'Partner 3 Data'!J28,'Partner 1 Data'!J28,'Partner 4 Data'!J28)</f>
        <v>0</v>
      </c>
      <c r="K28" s="116">
        <f>SUM('Partner 2 Data'!K28,'Partner 3 Data'!K28,'Partner 1 Data'!K28,'Partner 4 Data'!K28)</f>
        <v>0</v>
      </c>
      <c r="L28" s="116">
        <f>SUM('Partner 2 Data'!L28,'Partner 3 Data'!L28,'Partner 1 Data'!L28,'Partner 4 Data'!L28)</f>
        <v>0</v>
      </c>
      <c r="M28" s="116">
        <f>SUM('Partner 2 Data'!M28,'Partner 3 Data'!M28,'Partner 1 Data'!M28,'Partner 4 Data'!M28)</f>
        <v>0</v>
      </c>
      <c r="N28" s="116">
        <f>SUM('Partner 2 Data'!N28,'Partner 3 Data'!N28,'Partner 1 Data'!N28,'Partner 4 Data'!N28)</f>
        <v>0</v>
      </c>
      <c r="O28" s="116">
        <f>SUM('Partner 2 Data'!O28,'Partner 3 Data'!O28,'Partner 1 Data'!O28,'Partner 4 Data'!O28)</f>
        <v>0</v>
      </c>
      <c r="P28" s="116">
        <f>SUM('Partner 2 Data'!P28,'Partner 3 Data'!P28,'Partner 1 Data'!P28,'Partner 4 Data'!P28)</f>
        <v>0</v>
      </c>
      <c r="Q28" s="116">
        <f>SUM('Partner 2 Data'!Q28,'Partner 3 Data'!Q28,'Partner 1 Data'!Q28,'Partner 4 Data'!Q28)</f>
        <v>0</v>
      </c>
      <c r="R28" s="435">
        <f>SUM('Partner 2 Data'!R28,'Partner 3 Data'!R28,'Partner 1 Data'!R28,'Partner 4 Data'!R28)</f>
        <v>0</v>
      </c>
    </row>
    <row r="29" spans="1:18" x14ac:dyDescent="0.25">
      <c r="A29" s="81" t="s">
        <v>49</v>
      </c>
      <c r="B29" s="82"/>
      <c r="C29" s="100">
        <f t="shared" ref="C29:C50" si="0">SUM(D29:R29)</f>
        <v>0</v>
      </c>
      <c r="D29" s="116">
        <f>SUM('Partner 2 Data'!D29,'Partner 3 Data'!D29,'Partner 1 Data'!D29,'Partner 4 Data'!D29)</f>
        <v>0</v>
      </c>
      <c r="E29" s="116">
        <f>SUM('Partner 2 Data'!E29,'Partner 3 Data'!E29,'Partner 1 Data'!E29,'Partner 4 Data'!E29)</f>
        <v>0</v>
      </c>
      <c r="F29" s="116">
        <f>SUM('Partner 2 Data'!F29,'Partner 3 Data'!F29,'Partner 1 Data'!F29,'Partner 4 Data'!F29)</f>
        <v>0</v>
      </c>
      <c r="G29" s="116">
        <f>SUM('Partner 2 Data'!G29,'Partner 3 Data'!G29,'Partner 1 Data'!G29,'Partner 4 Data'!G29)</f>
        <v>0</v>
      </c>
      <c r="H29" s="116">
        <f>SUM('Partner 2 Data'!H29,'Partner 3 Data'!H29,'Partner 1 Data'!H29,'Partner 4 Data'!H29)</f>
        <v>0</v>
      </c>
      <c r="I29" s="116">
        <f>SUM('Partner 2 Data'!I29,'Partner 3 Data'!I29,'Partner 1 Data'!I29,'Partner 4 Data'!I29)</f>
        <v>0</v>
      </c>
      <c r="J29" s="116">
        <f>SUM('Partner 2 Data'!J29,'Partner 3 Data'!J29,'Partner 1 Data'!J29,'Partner 4 Data'!J29)</f>
        <v>0</v>
      </c>
      <c r="K29" s="116">
        <f>SUM('Partner 2 Data'!K29,'Partner 3 Data'!K29,'Partner 1 Data'!K29,'Partner 4 Data'!K29)</f>
        <v>0</v>
      </c>
      <c r="L29" s="116">
        <f>SUM('Partner 2 Data'!L29,'Partner 3 Data'!L29,'Partner 1 Data'!L29,'Partner 4 Data'!L29)</f>
        <v>0</v>
      </c>
      <c r="M29" s="116">
        <f>SUM('Partner 2 Data'!M29,'Partner 3 Data'!M29,'Partner 1 Data'!M29,'Partner 4 Data'!M29)</f>
        <v>0</v>
      </c>
      <c r="N29" s="116">
        <f>SUM('Partner 2 Data'!N29,'Partner 3 Data'!N29,'Partner 1 Data'!N29,'Partner 4 Data'!N29)</f>
        <v>0</v>
      </c>
      <c r="O29" s="116">
        <f>SUM('Partner 2 Data'!O29,'Partner 3 Data'!O29,'Partner 1 Data'!O29,'Partner 4 Data'!O29)</f>
        <v>0</v>
      </c>
      <c r="P29" s="116">
        <f>SUM('Partner 2 Data'!P29,'Partner 3 Data'!P29,'Partner 1 Data'!P29,'Partner 4 Data'!P29)</f>
        <v>0</v>
      </c>
      <c r="Q29" s="116">
        <f>SUM('Partner 2 Data'!Q29,'Partner 3 Data'!Q29,'Partner 1 Data'!Q29,'Partner 4 Data'!Q29)</f>
        <v>0</v>
      </c>
      <c r="R29" s="435">
        <f>SUM('Partner 2 Data'!R29,'Partner 3 Data'!R29,'Partner 1 Data'!R29,'Partner 4 Data'!R29)</f>
        <v>0</v>
      </c>
    </row>
    <row r="30" spans="1:18" x14ac:dyDescent="0.25">
      <c r="A30" s="85" t="s">
        <v>41</v>
      </c>
      <c r="B30" s="80"/>
      <c r="C30" s="100">
        <f t="shared" si="0"/>
        <v>0</v>
      </c>
      <c r="D30" s="116">
        <f>SUM('Partner 2 Data'!D30,'Partner 3 Data'!D30,'Partner 1 Data'!D30,'Partner 4 Data'!D30)</f>
        <v>0</v>
      </c>
      <c r="E30" s="116">
        <f>SUM('Partner 2 Data'!E30,'Partner 3 Data'!E30,'Partner 1 Data'!E30,'Partner 4 Data'!E30)</f>
        <v>0</v>
      </c>
      <c r="F30" s="116">
        <f>SUM('Partner 2 Data'!F30,'Partner 3 Data'!F30,'Partner 1 Data'!F30,'Partner 4 Data'!F30)</f>
        <v>0</v>
      </c>
      <c r="G30" s="116">
        <f>SUM('Partner 2 Data'!G30,'Partner 3 Data'!G30,'Partner 1 Data'!G30,'Partner 4 Data'!G30)</f>
        <v>0</v>
      </c>
      <c r="H30" s="116">
        <f>SUM('Partner 2 Data'!H30,'Partner 3 Data'!H30,'Partner 1 Data'!H30,'Partner 4 Data'!H30)</f>
        <v>0</v>
      </c>
      <c r="I30" s="116">
        <f>SUM('Partner 2 Data'!I30,'Partner 3 Data'!I30,'Partner 1 Data'!I30,'Partner 4 Data'!I30)</f>
        <v>0</v>
      </c>
      <c r="J30" s="116">
        <f>SUM('Partner 2 Data'!J30,'Partner 3 Data'!J30,'Partner 1 Data'!J30,'Partner 4 Data'!J30)</f>
        <v>0</v>
      </c>
      <c r="K30" s="116">
        <f>SUM('Partner 2 Data'!K30,'Partner 3 Data'!K30,'Partner 1 Data'!K30,'Partner 4 Data'!K30)</f>
        <v>0</v>
      </c>
      <c r="L30" s="116">
        <f>SUM('Partner 2 Data'!L30,'Partner 3 Data'!L30,'Partner 1 Data'!L30,'Partner 4 Data'!L30)</f>
        <v>0</v>
      </c>
      <c r="M30" s="116">
        <f>SUM('Partner 2 Data'!M30,'Partner 3 Data'!M30,'Partner 1 Data'!M30,'Partner 4 Data'!M30)</f>
        <v>0</v>
      </c>
      <c r="N30" s="116">
        <f>SUM('Partner 2 Data'!N30,'Partner 3 Data'!N30,'Partner 1 Data'!N30,'Partner 4 Data'!N30)</f>
        <v>0</v>
      </c>
      <c r="O30" s="116">
        <f>SUM('Partner 2 Data'!O30,'Partner 3 Data'!O30,'Partner 1 Data'!O30,'Partner 4 Data'!O30)</f>
        <v>0</v>
      </c>
      <c r="P30" s="116">
        <f>SUM('Partner 2 Data'!P30,'Partner 3 Data'!P30,'Partner 1 Data'!P30,'Partner 4 Data'!P30)</f>
        <v>0</v>
      </c>
      <c r="Q30" s="116">
        <f>SUM('Partner 2 Data'!Q30,'Partner 3 Data'!Q30,'Partner 1 Data'!Q30,'Partner 4 Data'!Q30)</f>
        <v>0</v>
      </c>
      <c r="R30" s="435">
        <f>SUM('Partner 2 Data'!R30,'Partner 3 Data'!R30,'Partner 1 Data'!R30,'Partner 4 Data'!R30)</f>
        <v>0</v>
      </c>
    </row>
    <row r="31" spans="1:18" x14ac:dyDescent="0.25">
      <c r="A31" s="86" t="s">
        <v>53</v>
      </c>
      <c r="B31" s="87"/>
      <c r="C31" s="100">
        <f t="shared" si="0"/>
        <v>0</v>
      </c>
      <c r="D31" s="116">
        <f>SUM('Partner 2 Data'!D31,'Partner 3 Data'!D31,'Partner 1 Data'!D31,'Partner 4 Data'!D31)</f>
        <v>0</v>
      </c>
      <c r="E31" s="116">
        <f>SUM('Partner 2 Data'!E31,'Partner 3 Data'!E31,'Partner 1 Data'!E31,'Partner 4 Data'!E31)</f>
        <v>0</v>
      </c>
      <c r="F31" s="116">
        <f>SUM('Partner 2 Data'!F31,'Partner 3 Data'!F31,'Partner 1 Data'!F31,'Partner 4 Data'!F31)</f>
        <v>0</v>
      </c>
      <c r="G31" s="116">
        <f>SUM('Partner 2 Data'!G31,'Partner 3 Data'!G31,'Partner 1 Data'!G31,'Partner 4 Data'!G31)</f>
        <v>0</v>
      </c>
      <c r="H31" s="116">
        <f>SUM('Partner 2 Data'!H31,'Partner 3 Data'!H31,'Partner 1 Data'!H31,'Partner 4 Data'!H31)</f>
        <v>0</v>
      </c>
      <c r="I31" s="116">
        <f>SUM('Partner 2 Data'!I31,'Partner 3 Data'!I31,'Partner 1 Data'!I31,'Partner 4 Data'!I31)</f>
        <v>0</v>
      </c>
      <c r="J31" s="116">
        <f>SUM('Partner 2 Data'!J31,'Partner 3 Data'!J31,'Partner 1 Data'!J31,'Partner 4 Data'!J31)</f>
        <v>0</v>
      </c>
      <c r="K31" s="116">
        <f>SUM('Partner 2 Data'!K31,'Partner 3 Data'!K31,'Partner 1 Data'!K31,'Partner 4 Data'!K31)</f>
        <v>0</v>
      </c>
      <c r="L31" s="116">
        <f>SUM('Partner 2 Data'!L31,'Partner 3 Data'!L31,'Partner 1 Data'!L31,'Partner 4 Data'!L31)</f>
        <v>0</v>
      </c>
      <c r="M31" s="116">
        <f>SUM('Partner 2 Data'!M31,'Partner 3 Data'!M31,'Partner 1 Data'!M31,'Partner 4 Data'!M31)</f>
        <v>0</v>
      </c>
      <c r="N31" s="116">
        <f>SUM('Partner 2 Data'!N31,'Partner 3 Data'!N31,'Partner 1 Data'!N31,'Partner 4 Data'!N31)</f>
        <v>0</v>
      </c>
      <c r="O31" s="116">
        <f>SUM('Partner 2 Data'!O31,'Partner 3 Data'!O31,'Partner 1 Data'!O31,'Partner 4 Data'!O31)</f>
        <v>0</v>
      </c>
      <c r="P31" s="116">
        <f>SUM('Partner 2 Data'!P31,'Partner 3 Data'!P31,'Partner 1 Data'!P31,'Partner 4 Data'!P31)</f>
        <v>0</v>
      </c>
      <c r="Q31" s="116">
        <f>SUM('Partner 2 Data'!Q31,'Partner 3 Data'!Q31,'Partner 1 Data'!Q31,'Partner 4 Data'!Q31)</f>
        <v>0</v>
      </c>
      <c r="R31" s="435">
        <f>SUM('Partner 2 Data'!R31,'Partner 3 Data'!R31,'Partner 1 Data'!R31,'Partner 4 Data'!R31)</f>
        <v>0</v>
      </c>
    </row>
    <row r="32" spans="1:18" x14ac:dyDescent="0.25">
      <c r="A32" s="86" t="s">
        <v>54</v>
      </c>
      <c r="B32" s="87"/>
      <c r="C32" s="100">
        <f t="shared" si="0"/>
        <v>0</v>
      </c>
      <c r="D32" s="116">
        <f>SUM('Partner 2 Data'!D32,'Partner 3 Data'!D32,'Partner 1 Data'!D32,'Partner 4 Data'!D32)</f>
        <v>0</v>
      </c>
      <c r="E32" s="116">
        <f>SUM('Partner 2 Data'!E32,'Partner 3 Data'!E32,'Partner 1 Data'!E32,'Partner 4 Data'!E32)</f>
        <v>0</v>
      </c>
      <c r="F32" s="116">
        <f>SUM('Partner 2 Data'!F32,'Partner 3 Data'!F32,'Partner 1 Data'!F32,'Partner 4 Data'!F32)</f>
        <v>0</v>
      </c>
      <c r="G32" s="116">
        <f>SUM('Partner 2 Data'!G32,'Partner 3 Data'!G32,'Partner 1 Data'!G32,'Partner 4 Data'!G32)</f>
        <v>0</v>
      </c>
      <c r="H32" s="116">
        <f>SUM('Partner 2 Data'!H32,'Partner 3 Data'!H32,'Partner 1 Data'!H32,'Partner 4 Data'!H32)</f>
        <v>0</v>
      </c>
      <c r="I32" s="116">
        <f>SUM('Partner 2 Data'!I32,'Partner 3 Data'!I32,'Partner 1 Data'!I32,'Partner 4 Data'!I32)</f>
        <v>0</v>
      </c>
      <c r="J32" s="116">
        <f>SUM('Partner 2 Data'!J32,'Partner 3 Data'!J32,'Partner 1 Data'!J32,'Partner 4 Data'!J32)</f>
        <v>0</v>
      </c>
      <c r="K32" s="116">
        <f>SUM('Partner 2 Data'!K32,'Partner 3 Data'!K32,'Partner 1 Data'!K32,'Partner 4 Data'!K32)</f>
        <v>0</v>
      </c>
      <c r="L32" s="116">
        <f>SUM('Partner 2 Data'!L32,'Partner 3 Data'!L32,'Partner 1 Data'!L32,'Partner 4 Data'!L32)</f>
        <v>0</v>
      </c>
      <c r="M32" s="116">
        <f>SUM('Partner 2 Data'!M32,'Partner 3 Data'!M32,'Partner 1 Data'!M32,'Partner 4 Data'!M32)</f>
        <v>0</v>
      </c>
      <c r="N32" s="116">
        <f>SUM('Partner 2 Data'!N32,'Partner 3 Data'!N32,'Partner 1 Data'!N32,'Partner 4 Data'!N32)</f>
        <v>0</v>
      </c>
      <c r="O32" s="116">
        <f>SUM('Partner 2 Data'!O32,'Partner 3 Data'!O32,'Partner 1 Data'!O32,'Partner 4 Data'!O32)</f>
        <v>0</v>
      </c>
      <c r="P32" s="116">
        <f>SUM('Partner 2 Data'!P32,'Partner 3 Data'!P32,'Partner 1 Data'!P32,'Partner 4 Data'!P32)</f>
        <v>0</v>
      </c>
      <c r="Q32" s="116">
        <f>SUM('Partner 2 Data'!Q32,'Partner 3 Data'!Q32,'Partner 1 Data'!Q32,'Partner 4 Data'!Q32)</f>
        <v>0</v>
      </c>
      <c r="R32" s="435">
        <f>SUM('Partner 2 Data'!R32,'Partner 3 Data'!R32,'Partner 1 Data'!R32,'Partner 4 Data'!R32)</f>
        <v>0</v>
      </c>
    </row>
    <row r="33" spans="1:18" x14ac:dyDescent="0.25">
      <c r="A33" s="86" t="s">
        <v>55</v>
      </c>
      <c r="B33" s="87"/>
      <c r="C33" s="100">
        <f t="shared" si="0"/>
        <v>0</v>
      </c>
      <c r="D33" s="116">
        <f>SUM('Partner 2 Data'!D33,'Partner 3 Data'!D33,'Partner 1 Data'!D33,'Partner 4 Data'!D33)</f>
        <v>0</v>
      </c>
      <c r="E33" s="116">
        <f>SUM('Partner 2 Data'!E33,'Partner 3 Data'!E33,'Partner 1 Data'!E33,'Partner 4 Data'!E33)</f>
        <v>0</v>
      </c>
      <c r="F33" s="116">
        <f>SUM('Partner 2 Data'!F33,'Partner 3 Data'!F33,'Partner 1 Data'!F33,'Partner 4 Data'!F33)</f>
        <v>0</v>
      </c>
      <c r="G33" s="116">
        <f>SUM('Partner 2 Data'!G33,'Partner 3 Data'!G33,'Partner 1 Data'!G33,'Partner 4 Data'!G33)</f>
        <v>0</v>
      </c>
      <c r="H33" s="116">
        <f>SUM('Partner 2 Data'!H33,'Partner 3 Data'!H33,'Partner 1 Data'!H33,'Partner 4 Data'!H33)</f>
        <v>0</v>
      </c>
      <c r="I33" s="116">
        <f>SUM('Partner 2 Data'!I33,'Partner 3 Data'!I33,'Partner 1 Data'!I33,'Partner 4 Data'!I33)</f>
        <v>0</v>
      </c>
      <c r="J33" s="116">
        <f>SUM('Partner 2 Data'!J33,'Partner 3 Data'!J33,'Partner 1 Data'!J33,'Partner 4 Data'!J33)</f>
        <v>0</v>
      </c>
      <c r="K33" s="116">
        <f>SUM('Partner 2 Data'!K33,'Partner 3 Data'!K33,'Partner 1 Data'!K33,'Partner 4 Data'!K33)</f>
        <v>0</v>
      </c>
      <c r="L33" s="116">
        <f>SUM('Partner 2 Data'!L33,'Partner 3 Data'!L33,'Partner 1 Data'!L33,'Partner 4 Data'!L33)</f>
        <v>0</v>
      </c>
      <c r="M33" s="116">
        <f>SUM('Partner 2 Data'!M33,'Partner 3 Data'!M33,'Partner 1 Data'!M33,'Partner 4 Data'!M33)</f>
        <v>0</v>
      </c>
      <c r="N33" s="116">
        <f>SUM('Partner 2 Data'!N33,'Partner 3 Data'!N33,'Partner 1 Data'!N33,'Partner 4 Data'!N33)</f>
        <v>0</v>
      </c>
      <c r="O33" s="116">
        <f>SUM('Partner 2 Data'!O33,'Partner 3 Data'!O33,'Partner 1 Data'!O33,'Partner 4 Data'!O33)</f>
        <v>0</v>
      </c>
      <c r="P33" s="116">
        <f>SUM('Partner 2 Data'!P33,'Partner 3 Data'!P33,'Partner 1 Data'!P33,'Partner 4 Data'!P33)</f>
        <v>0</v>
      </c>
      <c r="Q33" s="116">
        <f>SUM('Partner 2 Data'!Q33,'Partner 3 Data'!Q33,'Partner 1 Data'!Q33,'Partner 4 Data'!Q33)</f>
        <v>0</v>
      </c>
      <c r="R33" s="435">
        <f>SUM('Partner 2 Data'!R33,'Partner 3 Data'!R33,'Partner 1 Data'!R33,'Partner 4 Data'!R33)</f>
        <v>0</v>
      </c>
    </row>
    <row r="34" spans="1:18" x14ac:dyDescent="0.25">
      <c r="A34" s="86" t="s">
        <v>56</v>
      </c>
      <c r="B34" s="87"/>
      <c r="C34" s="100">
        <f t="shared" si="0"/>
        <v>0</v>
      </c>
      <c r="D34" s="116">
        <f>SUM('Partner 2 Data'!D34,'Partner 3 Data'!D34,'Partner 1 Data'!D34,'Partner 4 Data'!D34)</f>
        <v>0</v>
      </c>
      <c r="E34" s="116">
        <f>SUM('Partner 2 Data'!E34,'Partner 3 Data'!E34,'Partner 1 Data'!E34,'Partner 4 Data'!E34)</f>
        <v>0</v>
      </c>
      <c r="F34" s="116">
        <f>SUM('Partner 2 Data'!F34,'Partner 3 Data'!F34,'Partner 1 Data'!F34,'Partner 4 Data'!F34)</f>
        <v>0</v>
      </c>
      <c r="G34" s="116">
        <f>SUM('Partner 2 Data'!G34,'Partner 3 Data'!G34,'Partner 1 Data'!G34,'Partner 4 Data'!G34)</f>
        <v>0</v>
      </c>
      <c r="H34" s="116">
        <f>SUM('Partner 2 Data'!H34,'Partner 3 Data'!H34,'Partner 1 Data'!H34,'Partner 4 Data'!H34)</f>
        <v>0</v>
      </c>
      <c r="I34" s="116">
        <f>SUM('Partner 2 Data'!I34,'Partner 3 Data'!I34,'Partner 1 Data'!I34,'Partner 4 Data'!I34)</f>
        <v>0</v>
      </c>
      <c r="J34" s="116">
        <f>SUM('Partner 2 Data'!J34,'Partner 3 Data'!J34,'Partner 1 Data'!J34,'Partner 4 Data'!J34)</f>
        <v>0</v>
      </c>
      <c r="K34" s="116">
        <f>SUM('Partner 2 Data'!K34,'Partner 3 Data'!K34,'Partner 1 Data'!K34,'Partner 4 Data'!K34)</f>
        <v>0</v>
      </c>
      <c r="L34" s="116">
        <f>SUM('Partner 2 Data'!L34,'Partner 3 Data'!L34,'Partner 1 Data'!L34,'Partner 4 Data'!L34)</f>
        <v>0</v>
      </c>
      <c r="M34" s="116">
        <f>SUM('Partner 2 Data'!M34,'Partner 3 Data'!M34,'Partner 1 Data'!M34,'Partner 4 Data'!M34)</f>
        <v>0</v>
      </c>
      <c r="N34" s="116">
        <f>SUM('Partner 2 Data'!N34,'Partner 3 Data'!N34,'Partner 1 Data'!N34,'Partner 4 Data'!N34)</f>
        <v>0</v>
      </c>
      <c r="O34" s="116">
        <f>SUM('Partner 2 Data'!O34,'Partner 3 Data'!O34,'Partner 1 Data'!O34,'Partner 4 Data'!O34)</f>
        <v>0</v>
      </c>
      <c r="P34" s="116">
        <f>SUM('Partner 2 Data'!P34,'Partner 3 Data'!P34,'Partner 1 Data'!P34,'Partner 4 Data'!P34)</f>
        <v>0</v>
      </c>
      <c r="Q34" s="116">
        <f>SUM('Partner 2 Data'!Q34,'Partner 3 Data'!Q34,'Partner 1 Data'!Q34,'Partner 4 Data'!Q34)</f>
        <v>0</v>
      </c>
      <c r="R34" s="435">
        <f>SUM('Partner 2 Data'!R34,'Partner 3 Data'!R34,'Partner 1 Data'!R34,'Partner 4 Data'!R34)</f>
        <v>0</v>
      </c>
    </row>
    <row r="35" spans="1:18" x14ac:dyDescent="0.25">
      <c r="A35" s="86" t="s">
        <v>57</v>
      </c>
      <c r="B35" s="88"/>
      <c r="C35" s="100">
        <f t="shared" si="0"/>
        <v>0</v>
      </c>
      <c r="D35" s="116">
        <f>SUM('Partner 2 Data'!D35,'Partner 3 Data'!D35,'Partner 1 Data'!D35,'Partner 4 Data'!D35)</f>
        <v>0</v>
      </c>
      <c r="E35" s="116">
        <f>SUM('Partner 2 Data'!E35,'Partner 3 Data'!E35,'Partner 1 Data'!E35,'Partner 4 Data'!E35)</f>
        <v>0</v>
      </c>
      <c r="F35" s="116">
        <f>SUM('Partner 2 Data'!F35,'Partner 3 Data'!F35,'Partner 1 Data'!F35,'Partner 4 Data'!F35)</f>
        <v>0</v>
      </c>
      <c r="G35" s="116">
        <f>SUM('Partner 2 Data'!G35,'Partner 3 Data'!G35,'Partner 1 Data'!G35,'Partner 4 Data'!G35)</f>
        <v>0</v>
      </c>
      <c r="H35" s="116">
        <f>SUM('Partner 2 Data'!H35,'Partner 3 Data'!H35,'Partner 1 Data'!H35,'Partner 4 Data'!H35)</f>
        <v>0</v>
      </c>
      <c r="I35" s="116">
        <f>SUM('Partner 2 Data'!I35,'Partner 3 Data'!I35,'Partner 1 Data'!I35,'Partner 4 Data'!I35)</f>
        <v>0</v>
      </c>
      <c r="J35" s="116">
        <f>SUM('Partner 2 Data'!J35,'Partner 3 Data'!J35,'Partner 1 Data'!J35,'Partner 4 Data'!J35)</f>
        <v>0</v>
      </c>
      <c r="K35" s="116">
        <f>SUM('Partner 2 Data'!K35,'Partner 3 Data'!K35,'Partner 1 Data'!K35,'Partner 4 Data'!K35)</f>
        <v>0</v>
      </c>
      <c r="L35" s="116">
        <f>SUM('Partner 2 Data'!L35,'Partner 3 Data'!L35,'Partner 1 Data'!L35,'Partner 4 Data'!L35)</f>
        <v>0</v>
      </c>
      <c r="M35" s="116">
        <f>SUM('Partner 2 Data'!M35,'Partner 3 Data'!M35,'Partner 1 Data'!M35,'Partner 4 Data'!M35)</f>
        <v>0</v>
      </c>
      <c r="N35" s="116">
        <f>SUM('Partner 2 Data'!N35,'Partner 3 Data'!N35,'Partner 1 Data'!N35,'Partner 4 Data'!N35)</f>
        <v>0</v>
      </c>
      <c r="O35" s="116">
        <f>SUM('Partner 2 Data'!O35,'Partner 3 Data'!O35,'Partner 1 Data'!O35,'Partner 4 Data'!O35)</f>
        <v>0</v>
      </c>
      <c r="P35" s="116">
        <f>SUM('Partner 2 Data'!P35,'Partner 3 Data'!P35,'Partner 1 Data'!P35,'Partner 4 Data'!P35)</f>
        <v>0</v>
      </c>
      <c r="Q35" s="116">
        <f>SUM('Partner 2 Data'!Q35,'Partner 3 Data'!Q35,'Partner 1 Data'!Q35,'Partner 4 Data'!Q35)</f>
        <v>0</v>
      </c>
      <c r="R35" s="435">
        <f>SUM('Partner 2 Data'!R35,'Partner 3 Data'!R35,'Partner 1 Data'!R35,'Partner 4 Data'!R35)</f>
        <v>0</v>
      </c>
    </row>
    <row r="36" spans="1:18" x14ac:dyDescent="0.25">
      <c r="A36" s="89" t="s">
        <v>58</v>
      </c>
      <c r="B36" s="87"/>
      <c r="C36" s="100">
        <f t="shared" si="0"/>
        <v>0</v>
      </c>
      <c r="D36" s="116">
        <f>SUM('Partner 2 Data'!D36,'Partner 3 Data'!D36,'Partner 1 Data'!D36,'Partner 4 Data'!D36)</f>
        <v>0</v>
      </c>
      <c r="E36" s="116">
        <f>SUM('Partner 2 Data'!E36,'Partner 3 Data'!E36,'Partner 1 Data'!E36,'Partner 4 Data'!E36)</f>
        <v>0</v>
      </c>
      <c r="F36" s="116">
        <f>SUM('Partner 2 Data'!F36,'Partner 3 Data'!F36,'Partner 1 Data'!F36,'Partner 4 Data'!F36)</f>
        <v>0</v>
      </c>
      <c r="G36" s="116">
        <f>SUM('Partner 2 Data'!G36,'Partner 3 Data'!G36,'Partner 1 Data'!G36,'Partner 4 Data'!G36)</f>
        <v>0</v>
      </c>
      <c r="H36" s="116">
        <f>SUM('Partner 2 Data'!H36,'Partner 3 Data'!H36,'Partner 1 Data'!H36,'Partner 4 Data'!H36)</f>
        <v>0</v>
      </c>
      <c r="I36" s="116">
        <f>SUM('Partner 2 Data'!I36,'Partner 3 Data'!I36,'Partner 1 Data'!I36,'Partner 4 Data'!I36)</f>
        <v>0</v>
      </c>
      <c r="J36" s="116">
        <f>SUM('Partner 2 Data'!J36,'Partner 3 Data'!J36,'Partner 1 Data'!J36,'Partner 4 Data'!J36)</f>
        <v>0</v>
      </c>
      <c r="K36" s="116">
        <f>SUM('Partner 2 Data'!K36,'Partner 3 Data'!K36,'Partner 1 Data'!K36,'Partner 4 Data'!K36)</f>
        <v>0</v>
      </c>
      <c r="L36" s="116">
        <f>SUM('Partner 2 Data'!L36,'Partner 3 Data'!L36,'Partner 1 Data'!L36,'Partner 4 Data'!L36)</f>
        <v>0</v>
      </c>
      <c r="M36" s="116">
        <f>SUM('Partner 2 Data'!M36,'Partner 3 Data'!M36,'Partner 1 Data'!M36,'Partner 4 Data'!M36)</f>
        <v>0</v>
      </c>
      <c r="N36" s="116">
        <f>SUM('Partner 2 Data'!N36,'Partner 3 Data'!N36,'Partner 1 Data'!N36,'Partner 4 Data'!N36)</f>
        <v>0</v>
      </c>
      <c r="O36" s="116">
        <f>SUM('Partner 2 Data'!O36,'Partner 3 Data'!O36,'Partner 1 Data'!O36,'Partner 4 Data'!O36)</f>
        <v>0</v>
      </c>
      <c r="P36" s="116">
        <f>SUM('Partner 2 Data'!P36,'Partner 3 Data'!P36,'Partner 1 Data'!P36,'Partner 4 Data'!P36)</f>
        <v>0</v>
      </c>
      <c r="Q36" s="116">
        <f>SUM('Partner 2 Data'!Q36,'Partner 3 Data'!Q36,'Partner 1 Data'!Q36,'Partner 4 Data'!Q36)</f>
        <v>0</v>
      </c>
      <c r="R36" s="435">
        <f>SUM('Partner 2 Data'!R36,'Partner 3 Data'!R36,'Partner 1 Data'!R36,'Partner 4 Data'!R36)</f>
        <v>0</v>
      </c>
    </row>
    <row r="37" spans="1:18" x14ac:dyDescent="0.25">
      <c r="A37" s="583" t="s">
        <v>59</v>
      </c>
      <c r="B37" s="584"/>
      <c r="C37" s="100">
        <f t="shared" si="0"/>
        <v>0</v>
      </c>
      <c r="D37" s="116">
        <f>SUM('Partner 2 Data'!D37,'Partner 3 Data'!D37,'Partner 1 Data'!D37,'Partner 4 Data'!D37)</f>
        <v>0</v>
      </c>
      <c r="E37" s="116">
        <f>SUM('Partner 2 Data'!E37,'Partner 3 Data'!E37,'Partner 1 Data'!E37,'Partner 4 Data'!E37)</f>
        <v>0</v>
      </c>
      <c r="F37" s="116">
        <f>SUM('Partner 2 Data'!F37,'Partner 3 Data'!F37,'Partner 1 Data'!F37,'Partner 4 Data'!F37)</f>
        <v>0</v>
      </c>
      <c r="G37" s="116">
        <f>SUM('Partner 2 Data'!G37,'Partner 3 Data'!G37,'Partner 1 Data'!G37,'Partner 4 Data'!G37)</f>
        <v>0</v>
      </c>
      <c r="H37" s="116">
        <f>SUM('Partner 2 Data'!H37,'Partner 3 Data'!H37,'Partner 1 Data'!H37,'Partner 4 Data'!H37)</f>
        <v>0</v>
      </c>
      <c r="I37" s="116">
        <f>SUM('Partner 2 Data'!I37,'Partner 3 Data'!I37,'Partner 1 Data'!I37,'Partner 4 Data'!I37)</f>
        <v>0</v>
      </c>
      <c r="J37" s="116">
        <f>SUM('Partner 2 Data'!J37,'Partner 3 Data'!J37,'Partner 1 Data'!J37,'Partner 4 Data'!J37)</f>
        <v>0</v>
      </c>
      <c r="K37" s="116">
        <f>SUM('Partner 2 Data'!K37,'Partner 3 Data'!K37,'Partner 1 Data'!K37,'Partner 4 Data'!K37)</f>
        <v>0</v>
      </c>
      <c r="L37" s="116">
        <f>SUM('Partner 2 Data'!L37,'Partner 3 Data'!L37,'Partner 1 Data'!L37,'Partner 4 Data'!L37)</f>
        <v>0</v>
      </c>
      <c r="M37" s="116">
        <f>SUM('Partner 2 Data'!M37,'Partner 3 Data'!M37,'Partner 1 Data'!M37,'Partner 4 Data'!M37)</f>
        <v>0</v>
      </c>
      <c r="N37" s="116">
        <f>SUM('Partner 2 Data'!N37,'Partner 3 Data'!N37,'Partner 1 Data'!N37,'Partner 4 Data'!N37)</f>
        <v>0</v>
      </c>
      <c r="O37" s="116">
        <f>SUM('Partner 2 Data'!O37,'Partner 3 Data'!O37,'Partner 1 Data'!O37,'Partner 4 Data'!O37)</f>
        <v>0</v>
      </c>
      <c r="P37" s="116">
        <f>SUM('Partner 2 Data'!P37,'Partner 3 Data'!P37,'Partner 1 Data'!P37,'Partner 4 Data'!P37)</f>
        <v>0</v>
      </c>
      <c r="Q37" s="116">
        <f>SUM('Partner 2 Data'!Q37,'Partner 3 Data'!Q37,'Partner 1 Data'!Q37,'Partner 4 Data'!Q37)</f>
        <v>0</v>
      </c>
      <c r="R37" s="435">
        <f>SUM('Partner 2 Data'!R37,'Partner 3 Data'!R37,'Partner 1 Data'!R37,'Partner 4 Data'!R37)</f>
        <v>0</v>
      </c>
    </row>
    <row r="38" spans="1:18" x14ac:dyDescent="0.25">
      <c r="A38" s="86" t="s">
        <v>60</v>
      </c>
      <c r="B38" s="87"/>
      <c r="C38" s="100">
        <f t="shared" si="0"/>
        <v>0</v>
      </c>
      <c r="D38" s="116">
        <f>SUM('Partner 2 Data'!D38,'Partner 3 Data'!D38,'Partner 1 Data'!D38,'Partner 4 Data'!D38)</f>
        <v>0</v>
      </c>
      <c r="E38" s="116">
        <f>SUM('Partner 2 Data'!E38,'Partner 3 Data'!E38,'Partner 1 Data'!E38,'Partner 4 Data'!E38)</f>
        <v>0</v>
      </c>
      <c r="F38" s="116">
        <f>SUM('Partner 2 Data'!F38,'Partner 3 Data'!F38,'Partner 1 Data'!F38,'Partner 4 Data'!F38)</f>
        <v>0</v>
      </c>
      <c r="G38" s="116">
        <f>SUM('Partner 2 Data'!G38,'Partner 3 Data'!G38,'Partner 1 Data'!G38,'Partner 4 Data'!G38)</f>
        <v>0</v>
      </c>
      <c r="H38" s="116">
        <f>SUM('Partner 2 Data'!H38,'Partner 3 Data'!H38,'Partner 1 Data'!H38,'Partner 4 Data'!H38)</f>
        <v>0</v>
      </c>
      <c r="I38" s="116">
        <f>SUM('Partner 2 Data'!I38,'Partner 3 Data'!I38,'Partner 1 Data'!I38,'Partner 4 Data'!I38)</f>
        <v>0</v>
      </c>
      <c r="J38" s="116">
        <f>SUM('Partner 2 Data'!J38,'Partner 3 Data'!J38,'Partner 1 Data'!J38,'Partner 4 Data'!J38)</f>
        <v>0</v>
      </c>
      <c r="K38" s="116">
        <f>SUM('Partner 2 Data'!K38,'Partner 3 Data'!K38,'Partner 1 Data'!K38,'Partner 4 Data'!K38)</f>
        <v>0</v>
      </c>
      <c r="L38" s="116">
        <f>SUM('Partner 2 Data'!L38,'Partner 3 Data'!L38,'Partner 1 Data'!L38,'Partner 4 Data'!L38)</f>
        <v>0</v>
      </c>
      <c r="M38" s="116">
        <f>SUM('Partner 2 Data'!M38,'Partner 3 Data'!M38,'Partner 1 Data'!M38,'Partner 4 Data'!M38)</f>
        <v>0</v>
      </c>
      <c r="N38" s="116">
        <f>SUM('Partner 2 Data'!N38,'Partner 3 Data'!N38,'Partner 1 Data'!N38,'Partner 4 Data'!N38)</f>
        <v>0</v>
      </c>
      <c r="O38" s="116">
        <f>SUM('Partner 2 Data'!O38,'Partner 3 Data'!O38,'Partner 1 Data'!O38,'Partner 4 Data'!O38)</f>
        <v>0</v>
      </c>
      <c r="P38" s="116">
        <f>SUM('Partner 2 Data'!P38,'Partner 3 Data'!P38,'Partner 1 Data'!P38,'Partner 4 Data'!P38)</f>
        <v>0</v>
      </c>
      <c r="Q38" s="116">
        <f>SUM('Partner 2 Data'!Q38,'Partner 3 Data'!Q38,'Partner 1 Data'!Q38,'Partner 4 Data'!Q38)</f>
        <v>0</v>
      </c>
      <c r="R38" s="435">
        <f>SUM('Partner 2 Data'!R38,'Partner 3 Data'!R38,'Partner 1 Data'!R38,'Partner 4 Data'!R38)</f>
        <v>0</v>
      </c>
    </row>
    <row r="39" spans="1:18" x14ac:dyDescent="0.25">
      <c r="A39" s="89" t="s">
        <v>61</v>
      </c>
      <c r="B39" s="90"/>
      <c r="C39" s="100">
        <f t="shared" si="0"/>
        <v>0</v>
      </c>
      <c r="D39" s="116">
        <f>SUM('Partner 2 Data'!D39,'Partner 3 Data'!D39,'Partner 1 Data'!D39,'Partner 4 Data'!D39)</f>
        <v>0</v>
      </c>
      <c r="E39" s="116">
        <f>SUM('Partner 2 Data'!E39,'Partner 3 Data'!E39,'Partner 1 Data'!E39,'Partner 4 Data'!E39)</f>
        <v>0</v>
      </c>
      <c r="F39" s="116">
        <f>SUM('Partner 2 Data'!F39,'Partner 3 Data'!F39,'Partner 1 Data'!F39,'Partner 4 Data'!F39)</f>
        <v>0</v>
      </c>
      <c r="G39" s="116">
        <f>SUM('Partner 2 Data'!G39,'Partner 3 Data'!G39,'Partner 1 Data'!G39,'Partner 4 Data'!G39)</f>
        <v>0</v>
      </c>
      <c r="H39" s="116">
        <f>SUM('Partner 2 Data'!H39,'Partner 3 Data'!H39,'Partner 1 Data'!H39,'Partner 4 Data'!H39)</f>
        <v>0</v>
      </c>
      <c r="I39" s="116">
        <f>SUM('Partner 2 Data'!I39,'Partner 3 Data'!I39,'Partner 1 Data'!I39,'Partner 4 Data'!I39)</f>
        <v>0</v>
      </c>
      <c r="J39" s="116">
        <f>SUM('Partner 2 Data'!J39,'Partner 3 Data'!J39,'Partner 1 Data'!J39,'Partner 4 Data'!J39)</f>
        <v>0</v>
      </c>
      <c r="K39" s="116">
        <f>SUM('Partner 2 Data'!K39,'Partner 3 Data'!K39,'Partner 1 Data'!K39,'Partner 4 Data'!K39)</f>
        <v>0</v>
      </c>
      <c r="L39" s="116">
        <f>SUM('Partner 2 Data'!L39,'Partner 3 Data'!L39,'Partner 1 Data'!L39,'Partner 4 Data'!L39)</f>
        <v>0</v>
      </c>
      <c r="M39" s="116">
        <f>SUM('Partner 2 Data'!M39,'Partner 3 Data'!M39,'Partner 1 Data'!M39,'Partner 4 Data'!M39)</f>
        <v>0</v>
      </c>
      <c r="N39" s="116">
        <f>SUM('Partner 2 Data'!N39,'Partner 3 Data'!N39,'Partner 1 Data'!N39,'Partner 4 Data'!N39)</f>
        <v>0</v>
      </c>
      <c r="O39" s="116">
        <f>SUM('Partner 2 Data'!O39,'Partner 3 Data'!O39,'Partner 1 Data'!O39,'Partner 4 Data'!O39)</f>
        <v>0</v>
      </c>
      <c r="P39" s="116">
        <f>SUM('Partner 2 Data'!P39,'Partner 3 Data'!P39,'Partner 1 Data'!P39,'Partner 4 Data'!P39)</f>
        <v>0</v>
      </c>
      <c r="Q39" s="116">
        <f>SUM('Partner 2 Data'!Q39,'Partner 3 Data'!Q39,'Partner 1 Data'!Q39,'Partner 4 Data'!Q39)</f>
        <v>0</v>
      </c>
      <c r="R39" s="435">
        <f>SUM('Partner 2 Data'!R39,'Partner 3 Data'!R39,'Partner 1 Data'!R39,'Partner 4 Data'!R39)</f>
        <v>0</v>
      </c>
    </row>
    <row r="40" spans="1:18" x14ac:dyDescent="0.25">
      <c r="A40" s="91" t="s">
        <v>62</v>
      </c>
      <c r="B40" s="87"/>
      <c r="C40" s="100">
        <f t="shared" si="0"/>
        <v>0</v>
      </c>
      <c r="D40" s="116">
        <f>SUM('Partner 2 Data'!D40,'Partner 3 Data'!D40,'Partner 1 Data'!D40,'Partner 4 Data'!D40)</f>
        <v>0</v>
      </c>
      <c r="E40" s="116">
        <f>SUM('Partner 2 Data'!E40,'Partner 3 Data'!E40,'Partner 1 Data'!E40,'Partner 4 Data'!E40)</f>
        <v>0</v>
      </c>
      <c r="F40" s="116">
        <f>SUM('Partner 2 Data'!F40,'Partner 3 Data'!F40,'Partner 1 Data'!F40,'Partner 4 Data'!F40)</f>
        <v>0</v>
      </c>
      <c r="G40" s="116">
        <f>SUM('Partner 2 Data'!G40,'Partner 3 Data'!G40,'Partner 1 Data'!G40,'Partner 4 Data'!G40)</f>
        <v>0</v>
      </c>
      <c r="H40" s="116">
        <f>SUM('Partner 2 Data'!H40,'Partner 3 Data'!H40,'Partner 1 Data'!H40,'Partner 4 Data'!H40)</f>
        <v>0</v>
      </c>
      <c r="I40" s="116">
        <f>SUM('Partner 2 Data'!I40,'Partner 3 Data'!I40,'Partner 1 Data'!I40,'Partner 4 Data'!I40)</f>
        <v>0</v>
      </c>
      <c r="J40" s="116">
        <f>SUM('Partner 2 Data'!J40,'Partner 3 Data'!J40,'Partner 1 Data'!J40,'Partner 4 Data'!J40)</f>
        <v>0</v>
      </c>
      <c r="K40" s="116">
        <f>SUM('Partner 2 Data'!K40,'Partner 3 Data'!K40,'Partner 1 Data'!K40,'Partner 4 Data'!K40)</f>
        <v>0</v>
      </c>
      <c r="L40" s="116">
        <f>SUM('Partner 2 Data'!L40,'Partner 3 Data'!L40,'Partner 1 Data'!L40,'Partner 4 Data'!L40)</f>
        <v>0</v>
      </c>
      <c r="M40" s="116">
        <f>SUM('Partner 2 Data'!M40,'Partner 3 Data'!M40,'Partner 1 Data'!M40,'Partner 4 Data'!M40)</f>
        <v>0</v>
      </c>
      <c r="N40" s="116">
        <f>SUM('Partner 2 Data'!N40,'Partner 3 Data'!N40,'Partner 1 Data'!N40,'Partner 4 Data'!N40)</f>
        <v>0</v>
      </c>
      <c r="O40" s="116">
        <f>SUM('Partner 2 Data'!O40,'Partner 3 Data'!O40,'Partner 1 Data'!O40,'Partner 4 Data'!O40)</f>
        <v>0</v>
      </c>
      <c r="P40" s="116">
        <f>SUM('Partner 2 Data'!P40,'Partner 3 Data'!P40,'Partner 1 Data'!P40,'Partner 4 Data'!P40)</f>
        <v>0</v>
      </c>
      <c r="Q40" s="116">
        <f>SUM('Partner 2 Data'!Q40,'Partner 3 Data'!Q40,'Partner 1 Data'!Q40,'Partner 4 Data'!Q40)</f>
        <v>0</v>
      </c>
      <c r="R40" s="435">
        <f>SUM('Partner 2 Data'!R40,'Partner 3 Data'!R40,'Partner 1 Data'!R40,'Partner 4 Data'!R40)</f>
        <v>0</v>
      </c>
    </row>
    <row r="41" spans="1:18" x14ac:dyDescent="0.25">
      <c r="A41" s="86" t="s">
        <v>63</v>
      </c>
      <c r="B41" s="90"/>
      <c r="C41" s="100">
        <f t="shared" si="0"/>
        <v>0</v>
      </c>
      <c r="D41" s="116">
        <f>SUM('Partner 2 Data'!D41,'Partner 3 Data'!D41,'Partner 1 Data'!D41,'Partner 4 Data'!D41)</f>
        <v>0</v>
      </c>
      <c r="E41" s="116">
        <f>SUM('Partner 2 Data'!E41,'Partner 3 Data'!E41,'Partner 1 Data'!E41,'Partner 4 Data'!E41)</f>
        <v>0</v>
      </c>
      <c r="F41" s="116">
        <f>SUM('Partner 2 Data'!F41,'Partner 3 Data'!F41,'Partner 1 Data'!F41,'Partner 4 Data'!F41)</f>
        <v>0</v>
      </c>
      <c r="G41" s="116">
        <f>SUM('Partner 2 Data'!G41,'Partner 3 Data'!G41,'Partner 1 Data'!G41,'Partner 4 Data'!G41)</f>
        <v>0</v>
      </c>
      <c r="H41" s="116">
        <f>SUM('Partner 2 Data'!H41,'Partner 3 Data'!H41,'Partner 1 Data'!H41,'Partner 4 Data'!H41)</f>
        <v>0</v>
      </c>
      <c r="I41" s="116">
        <f>SUM('Partner 2 Data'!I41,'Partner 3 Data'!I41,'Partner 1 Data'!I41,'Partner 4 Data'!I41)</f>
        <v>0</v>
      </c>
      <c r="J41" s="116">
        <f>SUM('Partner 2 Data'!J41,'Partner 3 Data'!J41,'Partner 1 Data'!J41,'Partner 4 Data'!J41)</f>
        <v>0</v>
      </c>
      <c r="K41" s="116">
        <f>SUM('Partner 2 Data'!K41,'Partner 3 Data'!K41,'Partner 1 Data'!K41,'Partner 4 Data'!K41)</f>
        <v>0</v>
      </c>
      <c r="L41" s="116">
        <f>SUM('Partner 2 Data'!L41,'Partner 3 Data'!L41,'Partner 1 Data'!L41,'Partner 4 Data'!L41)</f>
        <v>0</v>
      </c>
      <c r="M41" s="116">
        <f>SUM('Partner 2 Data'!M41,'Partner 3 Data'!M41,'Partner 1 Data'!M41,'Partner 4 Data'!M41)</f>
        <v>0</v>
      </c>
      <c r="N41" s="116">
        <f>SUM('Partner 2 Data'!N41,'Partner 3 Data'!N41,'Partner 1 Data'!N41,'Partner 4 Data'!N41)</f>
        <v>0</v>
      </c>
      <c r="O41" s="116">
        <f>SUM('Partner 2 Data'!O41,'Partner 3 Data'!O41,'Partner 1 Data'!O41,'Partner 4 Data'!O41)</f>
        <v>0</v>
      </c>
      <c r="P41" s="116">
        <f>SUM('Partner 2 Data'!P41,'Partner 3 Data'!P41,'Partner 1 Data'!P41,'Partner 4 Data'!P41)</f>
        <v>0</v>
      </c>
      <c r="Q41" s="116">
        <f>SUM('Partner 2 Data'!Q41,'Partner 3 Data'!Q41,'Partner 1 Data'!Q41,'Partner 4 Data'!Q41)</f>
        <v>0</v>
      </c>
      <c r="R41" s="435">
        <f>SUM('Partner 2 Data'!R41,'Partner 3 Data'!R41,'Partner 1 Data'!R41,'Partner 4 Data'!R41)</f>
        <v>0</v>
      </c>
    </row>
    <row r="42" spans="1:18" x14ac:dyDescent="0.25">
      <c r="A42" s="86" t="s">
        <v>64</v>
      </c>
      <c r="B42" s="87"/>
      <c r="C42" s="100">
        <f t="shared" si="0"/>
        <v>0</v>
      </c>
      <c r="D42" s="116">
        <f>SUM('Partner 2 Data'!D42,'Partner 3 Data'!D42,'Partner 1 Data'!D42,'Partner 4 Data'!D42)</f>
        <v>0</v>
      </c>
      <c r="E42" s="116">
        <f>SUM('Partner 2 Data'!E42,'Partner 3 Data'!E42,'Partner 1 Data'!E42,'Partner 4 Data'!E42)</f>
        <v>0</v>
      </c>
      <c r="F42" s="116">
        <f>SUM('Partner 2 Data'!F42,'Partner 3 Data'!F42,'Partner 1 Data'!F42,'Partner 4 Data'!F42)</f>
        <v>0</v>
      </c>
      <c r="G42" s="116">
        <f>SUM('Partner 2 Data'!G42,'Partner 3 Data'!G42,'Partner 1 Data'!G42,'Partner 4 Data'!G42)</f>
        <v>0</v>
      </c>
      <c r="H42" s="116">
        <f>SUM('Partner 2 Data'!H42,'Partner 3 Data'!H42,'Partner 1 Data'!H42,'Partner 4 Data'!H42)</f>
        <v>0</v>
      </c>
      <c r="I42" s="116">
        <f>SUM('Partner 2 Data'!I42,'Partner 3 Data'!I42,'Partner 1 Data'!I42,'Partner 4 Data'!I42)</f>
        <v>0</v>
      </c>
      <c r="J42" s="116">
        <f>SUM('Partner 2 Data'!J42,'Partner 3 Data'!J42,'Partner 1 Data'!J42,'Partner 4 Data'!J42)</f>
        <v>0</v>
      </c>
      <c r="K42" s="116">
        <f>SUM('Partner 2 Data'!K42,'Partner 3 Data'!K42,'Partner 1 Data'!K42,'Partner 4 Data'!K42)</f>
        <v>0</v>
      </c>
      <c r="L42" s="116">
        <f>SUM('Partner 2 Data'!L42,'Partner 3 Data'!L42,'Partner 1 Data'!L42,'Partner 4 Data'!L42)</f>
        <v>0</v>
      </c>
      <c r="M42" s="116">
        <f>SUM('Partner 2 Data'!M42,'Partner 3 Data'!M42,'Partner 1 Data'!M42,'Partner 4 Data'!M42)</f>
        <v>0</v>
      </c>
      <c r="N42" s="116">
        <f>SUM('Partner 2 Data'!N42,'Partner 3 Data'!N42,'Partner 1 Data'!N42,'Partner 4 Data'!N42)</f>
        <v>0</v>
      </c>
      <c r="O42" s="116">
        <f>SUM('Partner 2 Data'!O42,'Partner 3 Data'!O42,'Partner 1 Data'!O42,'Partner 4 Data'!O42)</f>
        <v>0</v>
      </c>
      <c r="P42" s="116">
        <f>SUM('Partner 2 Data'!P42,'Partner 3 Data'!P42,'Partner 1 Data'!P42,'Partner 4 Data'!P42)</f>
        <v>0</v>
      </c>
      <c r="Q42" s="116">
        <f>SUM('Partner 2 Data'!Q42,'Partner 3 Data'!Q42,'Partner 1 Data'!Q42,'Partner 4 Data'!Q42)</f>
        <v>0</v>
      </c>
      <c r="R42" s="435">
        <f>SUM('Partner 2 Data'!R42,'Partner 3 Data'!R42,'Partner 1 Data'!R42,'Partner 4 Data'!R42)</f>
        <v>0</v>
      </c>
    </row>
    <row r="43" spans="1:18" ht="15.75" thickBot="1" x14ac:dyDescent="0.3">
      <c r="A43" s="92" t="s">
        <v>65</v>
      </c>
      <c r="B43" s="88"/>
      <c r="C43" s="101">
        <f t="shared" si="0"/>
        <v>0</v>
      </c>
      <c r="D43" s="116">
        <f>SUM('Partner 2 Data'!D43,'Partner 3 Data'!D43,'Partner 1 Data'!D43,'Partner 4 Data'!D43)</f>
        <v>0</v>
      </c>
      <c r="E43" s="116">
        <f>SUM('Partner 2 Data'!E43,'Partner 3 Data'!E43,'Partner 1 Data'!E43,'Partner 4 Data'!E43)</f>
        <v>0</v>
      </c>
      <c r="F43" s="116">
        <f>SUM('Partner 2 Data'!F43,'Partner 3 Data'!F43,'Partner 1 Data'!F43,'Partner 4 Data'!F43)</f>
        <v>0</v>
      </c>
      <c r="G43" s="116">
        <f>SUM('Partner 2 Data'!G43,'Partner 3 Data'!G43,'Partner 1 Data'!G43,'Partner 4 Data'!G43)</f>
        <v>0</v>
      </c>
      <c r="H43" s="116">
        <f>SUM('Partner 2 Data'!H43,'Partner 3 Data'!H43,'Partner 1 Data'!H43,'Partner 4 Data'!H43)</f>
        <v>0</v>
      </c>
      <c r="I43" s="116">
        <f>SUM('Partner 2 Data'!I43,'Partner 3 Data'!I43,'Partner 1 Data'!I43,'Partner 4 Data'!I43)</f>
        <v>0</v>
      </c>
      <c r="J43" s="116">
        <f>SUM('Partner 2 Data'!J43,'Partner 3 Data'!J43,'Partner 1 Data'!J43,'Partner 4 Data'!J43)</f>
        <v>0</v>
      </c>
      <c r="K43" s="116">
        <f>SUM('Partner 2 Data'!K43,'Partner 3 Data'!K43,'Partner 1 Data'!K43,'Partner 4 Data'!K43)</f>
        <v>0</v>
      </c>
      <c r="L43" s="116">
        <f>SUM('Partner 2 Data'!L43,'Partner 3 Data'!L43,'Partner 1 Data'!L43,'Partner 4 Data'!L43)</f>
        <v>0</v>
      </c>
      <c r="M43" s="116">
        <f>SUM('Partner 2 Data'!M43,'Partner 3 Data'!M43,'Partner 1 Data'!M43,'Partner 4 Data'!M43)</f>
        <v>0</v>
      </c>
      <c r="N43" s="116">
        <f>SUM('Partner 2 Data'!N43,'Partner 3 Data'!N43,'Partner 1 Data'!N43,'Partner 4 Data'!N43)</f>
        <v>0</v>
      </c>
      <c r="O43" s="116">
        <f>SUM('Partner 2 Data'!O43,'Partner 3 Data'!O43,'Partner 1 Data'!O43,'Partner 4 Data'!O43)</f>
        <v>0</v>
      </c>
      <c r="P43" s="116">
        <f>SUM('Partner 2 Data'!P43,'Partner 3 Data'!P43,'Partner 1 Data'!P43,'Partner 4 Data'!P43)</f>
        <v>0</v>
      </c>
      <c r="Q43" s="116">
        <f>SUM('Partner 2 Data'!Q43,'Partner 3 Data'!Q43,'Partner 1 Data'!Q43,'Partner 4 Data'!Q43)</f>
        <v>0</v>
      </c>
      <c r="R43" s="435">
        <f>SUM('Partner 2 Data'!R43,'Partner 3 Data'!R43,'Partner 1 Data'!R43,'Partner 4 Data'!R43)</f>
        <v>0</v>
      </c>
    </row>
    <row r="44" spans="1:18" ht="16.5" thickBot="1" x14ac:dyDescent="0.3">
      <c r="A44" s="585" t="s">
        <v>84</v>
      </c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7"/>
    </row>
    <row r="45" spans="1:18" ht="24.95" customHeight="1" x14ac:dyDescent="0.25">
      <c r="A45" s="588" t="s">
        <v>278</v>
      </c>
      <c r="B45" s="589"/>
      <c r="C45" s="99">
        <f t="shared" si="0"/>
        <v>475</v>
      </c>
      <c r="D45" s="113">
        <f>SUM('Partner 2 Data'!D45,'Partner 3 Data'!D45,'Partner 1 Data'!D45,'Partner 4 Data'!D45)</f>
        <v>0</v>
      </c>
      <c r="E45" s="113">
        <f>SUM('Partner 2 Data'!E45,'Partner 3 Data'!E45,'Partner 1 Data'!E45,'Partner 4 Data'!E45)</f>
        <v>5</v>
      </c>
      <c r="F45" s="113">
        <f>SUM('Partner 2 Data'!F45,'Partner 3 Data'!F45,'Partner 1 Data'!F45,'Partner 4 Data'!F45)</f>
        <v>40</v>
      </c>
      <c r="G45" s="113">
        <f>SUM('Partner 2 Data'!G45,'Partner 3 Data'!G45,'Partner 1 Data'!G45,'Partner 4 Data'!G45)</f>
        <v>51</v>
      </c>
      <c r="H45" s="113">
        <f>SUM('Partner 2 Data'!H45,'Partner 3 Data'!H45,'Partner 1 Data'!H45,'Partner 4 Data'!H45)</f>
        <v>69</v>
      </c>
      <c r="I45" s="113">
        <f>SUM('Partner 2 Data'!I45,'Partner 3 Data'!I45,'Partner 1 Data'!I45,'Partner 4 Data'!I45)</f>
        <v>110</v>
      </c>
      <c r="J45" s="113">
        <f>SUM('Partner 2 Data'!J45,'Partner 3 Data'!J45,'Partner 1 Data'!J45,'Partner 4 Data'!J45)</f>
        <v>27</v>
      </c>
      <c r="K45" s="113">
        <f>SUM('Partner 2 Data'!K45,'Partner 3 Data'!K45,'Partner 1 Data'!K45,'Partner 4 Data'!K45)</f>
        <v>109</v>
      </c>
      <c r="L45" s="113">
        <f>SUM('Partner 2 Data'!L45,'Partner 3 Data'!L45,'Partner 1 Data'!L45,'Partner 4 Data'!L45)</f>
        <v>64</v>
      </c>
      <c r="M45" s="113">
        <f>SUM('Partner 2 Data'!M45,'Partner 3 Data'!M45,'Partner 1 Data'!M45,'Partner 4 Data'!M45)</f>
        <v>0</v>
      </c>
      <c r="N45" s="113">
        <f>SUM('Partner 2 Data'!N45,'Partner 3 Data'!N45,'Partner 1 Data'!N45,'Partner 4 Data'!N45)</f>
        <v>0</v>
      </c>
      <c r="O45" s="113">
        <f>SUM('Partner 2 Data'!O45,'Partner 3 Data'!O45,'Partner 1 Data'!O45,'Partner 4 Data'!O45)</f>
        <v>0</v>
      </c>
      <c r="P45" s="113">
        <f>SUM('Partner 2 Data'!P45,'Partner 3 Data'!P45,'Partner 1 Data'!P45,'Partner 4 Data'!P45)</f>
        <v>0</v>
      </c>
      <c r="Q45" s="113">
        <f>SUM('Partner 2 Data'!Q45,'Partner 3 Data'!Q45,'Partner 1 Data'!Q45,'Partner 4 Data'!Q45)</f>
        <v>0</v>
      </c>
      <c r="R45" s="437">
        <f>SUM('Partner 2 Data'!R45,'Partner 3 Data'!R45,'Partner 1 Data'!R45,'Partner 4 Data'!R45)</f>
        <v>0</v>
      </c>
    </row>
    <row r="46" spans="1:18" ht="24.95" customHeight="1" x14ac:dyDescent="0.25">
      <c r="A46" s="581" t="s">
        <v>279</v>
      </c>
      <c r="B46" s="582"/>
      <c r="C46" s="100">
        <f t="shared" si="0"/>
        <v>409</v>
      </c>
      <c r="D46" s="113">
        <f>SUM('Partner 2 Data'!D46,'Partner 3 Data'!D46,'Partner 1 Data'!D46,'Partner 4 Data'!D46)</f>
        <v>0</v>
      </c>
      <c r="E46" s="113">
        <f>SUM('Partner 2 Data'!E46,'Partner 3 Data'!E46,'Partner 1 Data'!E46,'Partner 4 Data'!E46)</f>
        <v>4</v>
      </c>
      <c r="F46" s="113">
        <f>SUM('Partner 2 Data'!F46,'Partner 3 Data'!F46,'Partner 1 Data'!F46,'Partner 4 Data'!F46)</f>
        <v>64</v>
      </c>
      <c r="G46" s="113">
        <f>SUM('Partner 2 Data'!G46,'Partner 3 Data'!G46,'Partner 1 Data'!G46,'Partner 4 Data'!G46)</f>
        <v>52</v>
      </c>
      <c r="H46" s="113">
        <f>SUM('Partner 2 Data'!H46,'Partner 3 Data'!H46,'Partner 1 Data'!H46,'Partner 4 Data'!H46)</f>
        <v>67</v>
      </c>
      <c r="I46" s="113">
        <f>SUM('Partner 2 Data'!I46,'Partner 3 Data'!I46,'Partner 1 Data'!I46,'Partner 4 Data'!I46)</f>
        <v>59</v>
      </c>
      <c r="J46" s="113">
        <f>SUM('Partner 2 Data'!J46,'Partner 3 Data'!J46,'Partner 1 Data'!J46,'Partner 4 Data'!J46)</f>
        <v>13</v>
      </c>
      <c r="K46" s="113">
        <f>SUM('Partner 2 Data'!K46,'Partner 3 Data'!K46,'Partner 1 Data'!K46,'Partner 4 Data'!K46)</f>
        <v>98</v>
      </c>
      <c r="L46" s="113">
        <f>SUM('Partner 2 Data'!L46,'Partner 3 Data'!L46,'Partner 1 Data'!L46,'Partner 4 Data'!L46)</f>
        <v>52</v>
      </c>
      <c r="M46" s="113">
        <f>SUM('Partner 2 Data'!M46,'Partner 3 Data'!M46,'Partner 1 Data'!M46,'Partner 4 Data'!M46)</f>
        <v>0</v>
      </c>
      <c r="N46" s="113">
        <f>SUM('Partner 2 Data'!N46,'Partner 3 Data'!N46,'Partner 1 Data'!N46,'Partner 4 Data'!N46)</f>
        <v>0</v>
      </c>
      <c r="O46" s="113">
        <f>SUM('Partner 2 Data'!O46,'Partner 3 Data'!O46,'Partner 1 Data'!O46,'Partner 4 Data'!O46)</f>
        <v>0</v>
      </c>
      <c r="P46" s="113">
        <f>SUM('Partner 2 Data'!P46,'Partner 3 Data'!P46,'Partner 1 Data'!P46,'Partner 4 Data'!P46)</f>
        <v>0</v>
      </c>
      <c r="Q46" s="113">
        <f>SUM('Partner 2 Data'!Q46,'Partner 3 Data'!Q46,'Partner 1 Data'!Q46,'Partner 4 Data'!Q46)</f>
        <v>0</v>
      </c>
      <c r="R46" s="437">
        <f>SUM('Partner 2 Data'!R46,'Partner 3 Data'!R46,'Partner 1 Data'!R46,'Partner 4 Data'!R46)</f>
        <v>0</v>
      </c>
    </row>
    <row r="47" spans="1:18" ht="24.95" customHeight="1" x14ac:dyDescent="0.25">
      <c r="A47" s="581" t="s">
        <v>280</v>
      </c>
      <c r="B47" s="582"/>
      <c r="C47" s="100">
        <f t="shared" si="0"/>
        <v>175</v>
      </c>
      <c r="D47" s="113">
        <f>SUM('Partner 2 Data'!D47,'Partner 3 Data'!D47,'Partner 1 Data'!D47,'Partner 4 Data'!D47)</f>
        <v>0</v>
      </c>
      <c r="E47" s="113">
        <f>SUM('Partner 2 Data'!E47,'Partner 3 Data'!E47,'Partner 1 Data'!E47,'Partner 4 Data'!E47)</f>
        <v>0</v>
      </c>
      <c r="F47" s="113">
        <f>SUM('Partner 2 Data'!F47,'Partner 3 Data'!F47,'Partner 1 Data'!F47,'Partner 4 Data'!F47)</f>
        <v>41</v>
      </c>
      <c r="G47" s="113">
        <f>SUM('Partner 2 Data'!G47,'Partner 3 Data'!G47,'Partner 1 Data'!G47,'Partner 4 Data'!G47)</f>
        <v>17</v>
      </c>
      <c r="H47" s="113">
        <f>SUM('Partner 2 Data'!H47,'Partner 3 Data'!H47,'Partner 1 Data'!H47,'Partner 4 Data'!H47)</f>
        <v>13</v>
      </c>
      <c r="I47" s="113">
        <f>SUM('Partner 2 Data'!I47,'Partner 3 Data'!I47,'Partner 1 Data'!I47,'Partner 4 Data'!I47)</f>
        <v>46</v>
      </c>
      <c r="J47" s="113">
        <f>SUM('Partner 2 Data'!J47,'Partner 3 Data'!J47,'Partner 1 Data'!J47,'Partner 4 Data'!J47)</f>
        <v>5</v>
      </c>
      <c r="K47" s="113">
        <f>SUM('Partner 2 Data'!K47,'Partner 3 Data'!K47,'Partner 1 Data'!K47,'Partner 4 Data'!K47)</f>
        <v>24</v>
      </c>
      <c r="L47" s="113">
        <f>SUM('Partner 2 Data'!L47,'Partner 3 Data'!L47,'Partner 1 Data'!L47,'Partner 4 Data'!L47)</f>
        <v>29</v>
      </c>
      <c r="M47" s="113">
        <f>SUM('Partner 2 Data'!M47,'Partner 3 Data'!M47,'Partner 1 Data'!M47,'Partner 4 Data'!M47)</f>
        <v>0</v>
      </c>
      <c r="N47" s="113">
        <f>SUM('Partner 2 Data'!N47,'Partner 3 Data'!N47,'Partner 1 Data'!N47,'Partner 4 Data'!N47)</f>
        <v>0</v>
      </c>
      <c r="O47" s="113">
        <f>SUM('Partner 2 Data'!O47,'Partner 3 Data'!O47,'Partner 1 Data'!O47,'Partner 4 Data'!O47)</f>
        <v>0</v>
      </c>
      <c r="P47" s="113">
        <f>SUM('Partner 2 Data'!P47,'Partner 3 Data'!P47,'Partner 1 Data'!P47,'Partner 4 Data'!P47)</f>
        <v>0</v>
      </c>
      <c r="Q47" s="113">
        <f>SUM('Partner 2 Data'!Q47,'Partner 3 Data'!Q47,'Partner 1 Data'!Q47,'Partner 4 Data'!Q47)</f>
        <v>0</v>
      </c>
      <c r="R47" s="437">
        <f>SUM('Partner 2 Data'!R47,'Partner 3 Data'!R47,'Partner 1 Data'!R47,'Partner 4 Data'!R47)</f>
        <v>0</v>
      </c>
    </row>
    <row r="48" spans="1:18" ht="24.95" customHeight="1" x14ac:dyDescent="0.25">
      <c r="A48" s="581" t="s">
        <v>281</v>
      </c>
      <c r="B48" s="582"/>
      <c r="C48" s="100">
        <f t="shared" si="0"/>
        <v>130</v>
      </c>
      <c r="D48" s="113">
        <f>SUM('Partner 2 Data'!D48,'Partner 3 Data'!D48,'Partner 1 Data'!D48,'Partner 4 Data'!D48)</f>
        <v>0</v>
      </c>
      <c r="E48" s="113">
        <f>SUM('Partner 2 Data'!E48,'Partner 3 Data'!E48,'Partner 1 Data'!E48,'Partner 4 Data'!E48)</f>
        <v>0</v>
      </c>
      <c r="F48" s="113">
        <f>SUM('Partner 2 Data'!F48,'Partner 3 Data'!F48,'Partner 1 Data'!F48,'Partner 4 Data'!F48)</f>
        <v>30</v>
      </c>
      <c r="G48" s="113">
        <f>SUM('Partner 2 Data'!G48,'Partner 3 Data'!G48,'Partner 1 Data'!G48,'Partner 4 Data'!G48)</f>
        <v>17</v>
      </c>
      <c r="H48" s="113">
        <f>SUM('Partner 2 Data'!H48,'Partner 3 Data'!H48,'Partner 1 Data'!H48,'Partner 4 Data'!H48)</f>
        <v>7</v>
      </c>
      <c r="I48" s="113">
        <f>SUM('Partner 2 Data'!I48,'Partner 3 Data'!I48,'Partner 1 Data'!I48,'Partner 4 Data'!I48)</f>
        <v>9</v>
      </c>
      <c r="J48" s="113">
        <f>SUM('Partner 2 Data'!J48,'Partner 3 Data'!J48,'Partner 1 Data'!J48,'Partner 4 Data'!J48)</f>
        <v>12</v>
      </c>
      <c r="K48" s="113">
        <f>SUM('Partner 2 Data'!K48,'Partner 3 Data'!K48,'Partner 1 Data'!K48,'Partner 4 Data'!K48)</f>
        <v>34</v>
      </c>
      <c r="L48" s="113">
        <f>SUM('Partner 2 Data'!L48,'Partner 3 Data'!L48,'Partner 1 Data'!L48,'Partner 4 Data'!L48)</f>
        <v>21</v>
      </c>
      <c r="M48" s="113">
        <f>SUM('Partner 2 Data'!M48,'Partner 3 Data'!M48,'Partner 1 Data'!M48,'Partner 4 Data'!M48)</f>
        <v>0</v>
      </c>
      <c r="N48" s="113">
        <f>SUM('Partner 2 Data'!N48,'Partner 3 Data'!N48,'Partner 1 Data'!N48,'Partner 4 Data'!N48)</f>
        <v>0</v>
      </c>
      <c r="O48" s="113">
        <f>SUM('Partner 2 Data'!O48,'Partner 3 Data'!O48,'Partner 1 Data'!O48,'Partner 4 Data'!O48)</f>
        <v>0</v>
      </c>
      <c r="P48" s="113">
        <f>SUM('Partner 2 Data'!P48,'Partner 3 Data'!P48,'Partner 1 Data'!P48,'Partner 4 Data'!P48)</f>
        <v>0</v>
      </c>
      <c r="Q48" s="113">
        <f>SUM('Partner 2 Data'!Q48,'Partner 3 Data'!Q48,'Partner 1 Data'!Q48,'Partner 4 Data'!Q48)</f>
        <v>0</v>
      </c>
      <c r="R48" s="437">
        <f>SUM('Partner 2 Data'!R48,'Partner 3 Data'!R48,'Partner 1 Data'!R48,'Partner 4 Data'!R48)</f>
        <v>0</v>
      </c>
    </row>
    <row r="49" spans="1:18" ht="24.95" customHeight="1" x14ac:dyDescent="0.25">
      <c r="A49" s="581" t="s">
        <v>274</v>
      </c>
      <c r="B49" s="582"/>
      <c r="C49" s="100">
        <f t="shared" si="0"/>
        <v>112</v>
      </c>
      <c r="D49" s="113">
        <f>SUM('Partner 2 Data'!D49,'Partner 3 Data'!D49,'Partner 1 Data'!D49,'Partner 4 Data'!D49)</f>
        <v>0</v>
      </c>
      <c r="E49" s="113">
        <f>SUM('Partner 2 Data'!E49,'Partner 3 Data'!E49,'Partner 1 Data'!E49,'Partner 4 Data'!E49)</f>
        <v>0</v>
      </c>
      <c r="F49" s="113">
        <f>SUM('Partner 2 Data'!F49,'Partner 3 Data'!F49,'Partner 1 Data'!F49,'Partner 4 Data'!F49)</f>
        <v>35</v>
      </c>
      <c r="G49" s="113">
        <f>SUM('Partner 2 Data'!G49,'Partner 3 Data'!G49,'Partner 1 Data'!G49,'Partner 4 Data'!G49)</f>
        <v>41</v>
      </c>
      <c r="H49" s="113">
        <f>SUM('Partner 2 Data'!H49,'Partner 3 Data'!H49,'Partner 1 Data'!H49,'Partner 4 Data'!H49)</f>
        <v>1</v>
      </c>
      <c r="I49" s="113">
        <f>SUM('Partner 2 Data'!I49,'Partner 3 Data'!I49,'Partner 1 Data'!I49,'Partner 4 Data'!I49)</f>
        <v>7</v>
      </c>
      <c r="J49" s="113">
        <f>SUM('Partner 2 Data'!J49,'Partner 3 Data'!J49,'Partner 1 Data'!J49,'Partner 4 Data'!J49)</f>
        <v>6</v>
      </c>
      <c r="K49" s="113">
        <f>SUM('Partner 2 Data'!K49,'Partner 3 Data'!K49,'Partner 1 Data'!K49,'Partner 4 Data'!K49)</f>
        <v>16</v>
      </c>
      <c r="L49" s="113">
        <f>SUM('Partner 2 Data'!L49,'Partner 3 Data'!L49,'Partner 1 Data'!L49,'Partner 4 Data'!L49)</f>
        <v>6</v>
      </c>
      <c r="M49" s="113">
        <f>SUM('Partner 2 Data'!M49,'Partner 3 Data'!M49,'Partner 1 Data'!M49,'Partner 4 Data'!M49)</f>
        <v>0</v>
      </c>
      <c r="N49" s="113">
        <f>SUM('Partner 2 Data'!N49,'Partner 3 Data'!N49,'Partner 1 Data'!N49,'Partner 4 Data'!N49)</f>
        <v>0</v>
      </c>
      <c r="O49" s="113">
        <f>SUM('Partner 2 Data'!O49,'Partner 3 Data'!O49,'Partner 1 Data'!O49,'Partner 4 Data'!O49)</f>
        <v>0</v>
      </c>
      <c r="P49" s="113">
        <f>SUM('Partner 2 Data'!P49,'Partner 3 Data'!P49,'Partner 1 Data'!P49,'Partner 4 Data'!P49)</f>
        <v>0</v>
      </c>
      <c r="Q49" s="113">
        <f>SUM('Partner 2 Data'!Q49,'Partner 3 Data'!Q49,'Partner 1 Data'!Q49,'Partner 4 Data'!Q49)</f>
        <v>0</v>
      </c>
      <c r="R49" s="437">
        <f>SUM('Partner 2 Data'!R49,'Partner 3 Data'!R49,'Partner 1 Data'!R49,'Partner 4 Data'!R49)</f>
        <v>0</v>
      </c>
    </row>
    <row r="50" spans="1:18" ht="24.95" customHeight="1" thickBot="1" x14ac:dyDescent="0.3">
      <c r="A50" s="592" t="s">
        <v>282</v>
      </c>
      <c r="B50" s="593"/>
      <c r="C50" s="101">
        <f t="shared" si="0"/>
        <v>39</v>
      </c>
      <c r="D50" s="113">
        <f>SUM('Partner 2 Data'!D50,'Partner 3 Data'!D50,'Partner 1 Data'!D50,'Partner 4 Data'!D50)</f>
        <v>0</v>
      </c>
      <c r="E50" s="113">
        <f>SUM('Partner 2 Data'!E50,'Partner 3 Data'!E50,'Partner 1 Data'!E50,'Partner 4 Data'!E50)</f>
        <v>0</v>
      </c>
      <c r="F50" s="113">
        <f>SUM('Partner 2 Data'!F50,'Partner 3 Data'!F50,'Partner 1 Data'!F50,'Partner 4 Data'!F50)</f>
        <v>7</v>
      </c>
      <c r="G50" s="113">
        <f>SUM('Partner 2 Data'!G50,'Partner 3 Data'!G50,'Partner 1 Data'!G50,'Partner 4 Data'!G50)</f>
        <v>12</v>
      </c>
      <c r="H50" s="113">
        <f>SUM('Partner 2 Data'!H50,'Partner 3 Data'!H50,'Partner 1 Data'!H50,'Partner 4 Data'!H50)</f>
        <v>2</v>
      </c>
      <c r="I50" s="113">
        <f>SUM('Partner 2 Data'!I50,'Partner 3 Data'!I50,'Partner 1 Data'!I50,'Partner 4 Data'!I50)</f>
        <v>1</v>
      </c>
      <c r="J50" s="113">
        <f>SUM('Partner 2 Data'!J50,'Partner 3 Data'!J50,'Partner 1 Data'!J50,'Partner 4 Data'!J50)</f>
        <v>0</v>
      </c>
      <c r="K50" s="113">
        <f>SUM('Partner 2 Data'!K50,'Partner 3 Data'!K50,'Partner 1 Data'!K50,'Partner 4 Data'!K50)</f>
        <v>17</v>
      </c>
      <c r="L50" s="113">
        <f>SUM('Partner 2 Data'!L50,'Partner 3 Data'!L50,'Partner 1 Data'!L50,'Partner 4 Data'!L50)</f>
        <v>0</v>
      </c>
      <c r="M50" s="113">
        <f>SUM('Partner 2 Data'!M50,'Partner 3 Data'!M50,'Partner 1 Data'!M50,'Partner 4 Data'!M50)</f>
        <v>0</v>
      </c>
      <c r="N50" s="113">
        <f>SUM('Partner 2 Data'!N50,'Partner 3 Data'!N50,'Partner 1 Data'!N50,'Partner 4 Data'!N50)</f>
        <v>0</v>
      </c>
      <c r="O50" s="113">
        <f>SUM('Partner 2 Data'!O50,'Partner 3 Data'!O50,'Partner 1 Data'!O50,'Partner 4 Data'!O50)</f>
        <v>0</v>
      </c>
      <c r="P50" s="113">
        <f>SUM('Partner 2 Data'!P50,'Partner 3 Data'!P50,'Partner 1 Data'!P50,'Partner 4 Data'!P50)</f>
        <v>0</v>
      </c>
      <c r="Q50" s="113">
        <f>SUM('Partner 2 Data'!Q50,'Partner 3 Data'!Q50,'Partner 1 Data'!Q50,'Partner 4 Data'!Q50)</f>
        <v>0</v>
      </c>
      <c r="R50" s="437">
        <f>SUM('Partner 2 Data'!R50,'Partner 3 Data'!R50,'Partner 1 Data'!R50,'Partner 4 Data'!R50)</f>
        <v>0</v>
      </c>
    </row>
    <row r="51" spans="1:18" ht="16.5" thickBot="1" x14ac:dyDescent="0.3">
      <c r="A51" s="594" t="s">
        <v>85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6"/>
    </row>
    <row r="52" spans="1:18" x14ac:dyDescent="0.25">
      <c r="A52" s="597" t="s">
        <v>15</v>
      </c>
      <c r="B52" s="597"/>
      <c r="C52" s="76" t="s">
        <v>82</v>
      </c>
      <c r="D52" s="76"/>
      <c r="E52" s="182"/>
      <c r="F52" s="97"/>
      <c r="G52" s="97"/>
      <c r="H52" s="98"/>
      <c r="I52" s="98"/>
      <c r="J52" s="98"/>
      <c r="K52" s="98"/>
      <c r="L52" s="98" t="s">
        <v>75</v>
      </c>
      <c r="M52" s="98"/>
      <c r="N52" s="98"/>
      <c r="O52" s="98"/>
      <c r="P52" s="98"/>
      <c r="Q52" s="98"/>
      <c r="R52" s="98"/>
    </row>
    <row r="53" spans="1:18" x14ac:dyDescent="0.25">
      <c r="A53" s="590" t="s">
        <v>8</v>
      </c>
      <c r="B53" s="591"/>
      <c r="C53" s="128">
        <f t="shared" ref="C53:C65" si="1">SUM(D53:R53)</f>
        <v>324544.57</v>
      </c>
      <c r="D53" s="129">
        <f>SUM('Partner 2 Data'!D53,'Partner 3 Data'!D53,'Partner 1 Data'!D53,'Partner 4 Data'!D53)</f>
        <v>254</v>
      </c>
      <c r="E53" s="129">
        <f>SUM('Partner 2 Data'!E53,'Partner 3 Data'!E53,'Partner 1 Data'!E53,'Partner 4 Data'!E53)</f>
        <v>11821.76</v>
      </c>
      <c r="F53" s="129">
        <f>SUM('Partner 2 Data'!F53,'Partner 3 Data'!F53,'Partner 1 Data'!F53,'Partner 4 Data'!F53)</f>
        <v>21132</v>
      </c>
      <c r="G53" s="129">
        <f>SUM('Partner 2 Data'!G53,'Partner 3 Data'!G53,'Partner 1 Data'!G53,'Partner 4 Data'!G53)</f>
        <v>28551</v>
      </c>
      <c r="H53" s="129">
        <f>SUM('Partner 2 Data'!H53,'Partner 3 Data'!H53,'Partner 1 Data'!H53,'Partner 4 Data'!H53)</f>
        <v>32888.800000000003</v>
      </c>
      <c r="I53" s="129">
        <f>SUM('Partner 2 Data'!I53,'Partner 3 Data'!I53,'Partner 1 Data'!I53,'Partner 4 Data'!I53)</f>
        <v>30873</v>
      </c>
      <c r="J53" s="129">
        <f>SUM('Partner 2 Data'!J53,'Partner 3 Data'!J53,'Partner 1 Data'!J53,'Partner 4 Data'!J53)</f>
        <v>60010.2</v>
      </c>
      <c r="K53" s="129">
        <f>SUM('Partner 2 Data'!K53,'Partner 3 Data'!K53,'Partner 1 Data'!K53,'Partner 4 Data'!K53)</f>
        <v>60429.64</v>
      </c>
      <c r="L53" s="129">
        <f>SUM('Partner 2 Data'!L53,'Partner 3 Data'!L53,'Partner 1 Data'!L53,'Partner 4 Data'!L53)</f>
        <v>78584.17</v>
      </c>
      <c r="M53" s="129">
        <f>SUM('Partner 2 Data'!M53,'Partner 3 Data'!M53,'Partner 1 Data'!M53,'Partner 4 Data'!M53)</f>
        <v>0</v>
      </c>
      <c r="N53" s="129">
        <f>SUM('Partner 2 Data'!N53,'Partner 3 Data'!N53,'Partner 1 Data'!N53,'Partner 4 Data'!N53)</f>
        <v>0</v>
      </c>
      <c r="O53" s="129">
        <f>SUM('Partner 2 Data'!O53,'Partner 3 Data'!O53,'Partner 1 Data'!O53,'Partner 4 Data'!O53)</f>
        <v>0</v>
      </c>
      <c r="P53" s="129">
        <f>SUM('Partner 2 Data'!P53,'Partner 3 Data'!P53,'Partner 1 Data'!P53,'Partner 4 Data'!P53)</f>
        <v>0</v>
      </c>
      <c r="Q53" s="129">
        <f>SUM('Partner 2 Data'!Q53,'Partner 3 Data'!Q53,'Partner 1 Data'!Q53,'Partner 4 Data'!Q53)</f>
        <v>0</v>
      </c>
      <c r="R53" s="438">
        <f>SUM('Partner 2 Data'!R53,'Partner 3 Data'!R53,'Partner 1 Data'!R53,'Partner 4 Data'!R53)</f>
        <v>0</v>
      </c>
    </row>
    <row r="54" spans="1:18" x14ac:dyDescent="0.25">
      <c r="A54" s="590" t="s">
        <v>9</v>
      </c>
      <c r="B54" s="591"/>
      <c r="C54" s="128">
        <f t="shared" si="1"/>
        <v>107610.19</v>
      </c>
      <c r="D54" s="129">
        <f>SUM('Partner 2 Data'!D54,'Partner 3 Data'!D54,'Partner 1 Data'!D54,'Partner 4 Data'!D54)</f>
        <v>89.7</v>
      </c>
      <c r="E54" s="129">
        <f>SUM('Partner 2 Data'!E54,'Partner 3 Data'!E54,'Partner 1 Data'!E54,'Partner 4 Data'!E54)</f>
        <v>3764.1200000000003</v>
      </c>
      <c r="F54" s="129">
        <f>SUM('Partner 2 Data'!F54,'Partner 3 Data'!F54,'Partner 1 Data'!F54,'Partner 4 Data'!F54)</f>
        <v>4550</v>
      </c>
      <c r="G54" s="129">
        <f>SUM('Partner 2 Data'!G54,'Partner 3 Data'!G54,'Partner 1 Data'!G54,'Partner 4 Data'!G54)</f>
        <v>8828</v>
      </c>
      <c r="H54" s="129">
        <f>SUM('Partner 2 Data'!H54,'Partner 3 Data'!H54,'Partner 1 Data'!H54,'Partner 4 Data'!H54)</f>
        <v>8808.81</v>
      </c>
      <c r="I54" s="129">
        <f>SUM('Partner 2 Data'!I54,'Partner 3 Data'!I54,'Partner 1 Data'!I54,'Partner 4 Data'!I54)</f>
        <v>7314</v>
      </c>
      <c r="J54" s="129">
        <f>SUM('Partner 2 Data'!J54,'Partner 3 Data'!J54,'Partner 1 Data'!J54,'Partner 4 Data'!J54)</f>
        <v>18943.79</v>
      </c>
      <c r="K54" s="129">
        <f>SUM('Partner 2 Data'!K54,'Partner 3 Data'!K54,'Partner 1 Data'!K54,'Partner 4 Data'!K54)</f>
        <v>27389.43</v>
      </c>
      <c r="L54" s="129">
        <f>SUM('Partner 2 Data'!L54,'Partner 3 Data'!L54,'Partner 1 Data'!L54,'Partner 4 Data'!L54)</f>
        <v>27922.34</v>
      </c>
      <c r="M54" s="129">
        <f>SUM('Partner 2 Data'!M54,'Partner 3 Data'!M54,'Partner 1 Data'!M54,'Partner 4 Data'!M54)</f>
        <v>0</v>
      </c>
      <c r="N54" s="129">
        <f>SUM('Partner 2 Data'!N54,'Partner 3 Data'!N54,'Partner 1 Data'!N54,'Partner 4 Data'!N54)</f>
        <v>0</v>
      </c>
      <c r="O54" s="129">
        <f>SUM('Partner 2 Data'!O54,'Partner 3 Data'!O54,'Partner 1 Data'!O54,'Partner 4 Data'!O54)</f>
        <v>0</v>
      </c>
      <c r="P54" s="129">
        <f>SUM('Partner 2 Data'!P54,'Partner 3 Data'!P54,'Partner 1 Data'!P54,'Partner 4 Data'!P54)</f>
        <v>0</v>
      </c>
      <c r="Q54" s="129">
        <f>SUM('Partner 2 Data'!Q54,'Partner 3 Data'!Q54,'Partner 1 Data'!Q54,'Partner 4 Data'!Q54)</f>
        <v>0</v>
      </c>
      <c r="R54" s="438">
        <f>SUM('Partner 2 Data'!R54,'Partner 3 Data'!R54,'Partner 1 Data'!R54,'Partner 4 Data'!R54)</f>
        <v>0</v>
      </c>
    </row>
    <row r="55" spans="1:18" x14ac:dyDescent="0.25">
      <c r="A55" s="590" t="s">
        <v>10</v>
      </c>
      <c r="B55" s="591"/>
      <c r="C55" s="128">
        <f t="shared" si="1"/>
        <v>5042.12</v>
      </c>
      <c r="D55" s="129">
        <f>SUM('Partner 2 Data'!D55,'Partner 3 Data'!D55,'Partner 1 Data'!D55,'Partner 4 Data'!D55)</f>
        <v>0.46</v>
      </c>
      <c r="E55" s="129">
        <f>SUM('Partner 2 Data'!E55,'Partner 3 Data'!E55,'Partner 1 Data'!E55,'Partner 4 Data'!E55)</f>
        <v>106.27</v>
      </c>
      <c r="F55" s="129">
        <f>SUM('Partner 2 Data'!F55,'Partner 3 Data'!F55,'Partner 1 Data'!F55,'Partner 4 Data'!F55)</f>
        <v>292.58</v>
      </c>
      <c r="G55" s="129">
        <f>SUM('Partner 2 Data'!G55,'Partner 3 Data'!G55,'Partner 1 Data'!G55,'Partner 4 Data'!G55)</f>
        <v>213.91</v>
      </c>
      <c r="H55" s="129">
        <f>SUM('Partner 2 Data'!H55,'Partner 3 Data'!H55,'Partner 1 Data'!H55,'Partner 4 Data'!H55)</f>
        <v>261.48</v>
      </c>
      <c r="I55" s="129">
        <f>SUM('Partner 2 Data'!I55,'Partner 3 Data'!I55,'Partner 1 Data'!I55,'Partner 4 Data'!I55)</f>
        <v>478</v>
      </c>
      <c r="J55" s="129">
        <f>SUM('Partner 2 Data'!J55,'Partner 3 Data'!J55,'Partner 1 Data'!J55,'Partner 4 Data'!J55)</f>
        <v>2641.72</v>
      </c>
      <c r="K55" s="129">
        <f>SUM('Partner 2 Data'!K55,'Partner 3 Data'!K55,'Partner 1 Data'!K55,'Partner 4 Data'!K55)</f>
        <v>-306.89</v>
      </c>
      <c r="L55" s="129">
        <f>SUM('Partner 2 Data'!L55,'Partner 3 Data'!L55,'Partner 1 Data'!L55,'Partner 4 Data'!L55)</f>
        <v>1354.5900000000001</v>
      </c>
      <c r="M55" s="129">
        <f>SUM('Partner 2 Data'!M55,'Partner 3 Data'!M55,'Partner 1 Data'!M55,'Partner 4 Data'!M55)</f>
        <v>0</v>
      </c>
      <c r="N55" s="129">
        <f>SUM('Partner 2 Data'!N55,'Partner 3 Data'!N55,'Partner 1 Data'!N55,'Partner 4 Data'!N55)</f>
        <v>0</v>
      </c>
      <c r="O55" s="129">
        <f>SUM('Partner 2 Data'!O55,'Partner 3 Data'!O55,'Partner 1 Data'!O55,'Partner 4 Data'!O55)</f>
        <v>0</v>
      </c>
      <c r="P55" s="129">
        <f>SUM('Partner 2 Data'!P55,'Partner 3 Data'!P55,'Partner 1 Data'!P55,'Partner 4 Data'!P55)</f>
        <v>0</v>
      </c>
      <c r="Q55" s="129">
        <f>SUM('Partner 2 Data'!Q55,'Partner 3 Data'!Q55,'Partner 1 Data'!Q55,'Partner 4 Data'!Q55)</f>
        <v>0</v>
      </c>
      <c r="R55" s="438">
        <f>SUM('Partner 2 Data'!R55,'Partner 3 Data'!R55,'Partner 1 Data'!R55,'Partner 4 Data'!R55)</f>
        <v>0</v>
      </c>
    </row>
    <row r="56" spans="1:18" x14ac:dyDescent="0.25">
      <c r="A56" s="590" t="s">
        <v>17</v>
      </c>
      <c r="B56" s="591"/>
      <c r="C56" s="128">
        <f t="shared" si="1"/>
        <v>0</v>
      </c>
      <c r="D56" s="129">
        <f>SUM('Partner 2 Data'!D56,'Partner 3 Data'!D56,'Partner 1 Data'!D56,'Partner 4 Data'!D56)</f>
        <v>0</v>
      </c>
      <c r="E56" s="129">
        <f>SUM('Partner 2 Data'!E56,'Partner 3 Data'!E56,'Partner 1 Data'!E56,'Partner 4 Data'!E56)</f>
        <v>0</v>
      </c>
      <c r="F56" s="129">
        <f>SUM('Partner 2 Data'!F56,'Partner 3 Data'!F56,'Partner 1 Data'!F56,'Partner 4 Data'!F56)</f>
        <v>0</v>
      </c>
      <c r="G56" s="129">
        <f>SUM('Partner 2 Data'!G56,'Partner 3 Data'!G56,'Partner 1 Data'!G56,'Partner 4 Data'!G56)</f>
        <v>0</v>
      </c>
      <c r="H56" s="129">
        <f>SUM('Partner 2 Data'!H56,'Partner 3 Data'!H56,'Partner 1 Data'!H56,'Partner 4 Data'!H56)</f>
        <v>0</v>
      </c>
      <c r="I56" s="129">
        <f>SUM('Partner 2 Data'!I56,'Partner 3 Data'!I56,'Partner 1 Data'!I56,'Partner 4 Data'!I56)</f>
        <v>0</v>
      </c>
      <c r="J56" s="129">
        <f>SUM('Partner 2 Data'!J56,'Partner 3 Data'!J56,'Partner 1 Data'!J56,'Partner 4 Data'!J56)</f>
        <v>0</v>
      </c>
      <c r="K56" s="129">
        <f>SUM('Partner 2 Data'!K56,'Partner 3 Data'!K56,'Partner 1 Data'!K56,'Partner 4 Data'!K56)</f>
        <v>0</v>
      </c>
      <c r="L56" s="129">
        <f>SUM('Partner 2 Data'!L56,'Partner 3 Data'!L56,'Partner 1 Data'!L56,'Partner 4 Data'!L56)</f>
        <v>0</v>
      </c>
      <c r="M56" s="129">
        <f>SUM('Partner 2 Data'!M56,'Partner 3 Data'!M56,'Partner 1 Data'!M56,'Partner 4 Data'!M56)</f>
        <v>0</v>
      </c>
      <c r="N56" s="129">
        <f>SUM('Partner 2 Data'!N56,'Partner 3 Data'!N56,'Partner 1 Data'!N56,'Partner 4 Data'!N56)</f>
        <v>0</v>
      </c>
      <c r="O56" s="129">
        <f>SUM('Partner 2 Data'!O56,'Partner 3 Data'!O56,'Partner 1 Data'!O56,'Partner 4 Data'!O56)</f>
        <v>0</v>
      </c>
      <c r="P56" s="129">
        <f>SUM('Partner 2 Data'!P56,'Partner 3 Data'!P56,'Partner 1 Data'!P56,'Partner 4 Data'!P56)</f>
        <v>0</v>
      </c>
      <c r="Q56" s="129">
        <f>SUM('Partner 2 Data'!Q56,'Partner 3 Data'!Q56,'Partner 1 Data'!Q56,'Partner 4 Data'!Q56)</f>
        <v>0</v>
      </c>
      <c r="R56" s="438">
        <f>SUM('Partner 2 Data'!R56,'Partner 3 Data'!R56,'Partner 1 Data'!R56,'Partner 4 Data'!R56)</f>
        <v>0</v>
      </c>
    </row>
    <row r="57" spans="1:18" x14ac:dyDescent="0.25">
      <c r="A57" s="590" t="s">
        <v>11</v>
      </c>
      <c r="B57" s="591"/>
      <c r="C57" s="128">
        <f t="shared" si="1"/>
        <v>24625.590000000004</v>
      </c>
      <c r="D57" s="129">
        <f>SUM('Partner 2 Data'!D57,'Partner 3 Data'!D57,'Partner 1 Data'!D57,'Partner 4 Data'!D57)</f>
        <v>30.94</v>
      </c>
      <c r="E57" s="129">
        <f>SUM('Partner 2 Data'!E57,'Partner 3 Data'!E57,'Partner 1 Data'!E57,'Partner 4 Data'!E57)</f>
        <v>712.56999999999994</v>
      </c>
      <c r="F57" s="129">
        <f>SUM('Partner 2 Data'!F57,'Partner 3 Data'!F57,'Partner 1 Data'!F57,'Partner 4 Data'!F57)</f>
        <v>1591.05</v>
      </c>
      <c r="G57" s="129">
        <f>SUM('Partner 2 Data'!G57,'Partner 3 Data'!G57,'Partner 1 Data'!G57,'Partner 4 Data'!G57)</f>
        <v>1018</v>
      </c>
      <c r="H57" s="129">
        <f>SUM('Partner 2 Data'!H57,'Partner 3 Data'!H57,'Partner 1 Data'!H57,'Partner 4 Data'!H57)</f>
        <v>4959.54</v>
      </c>
      <c r="I57" s="129">
        <f>SUM('Partner 2 Data'!I57,'Partner 3 Data'!I57,'Partner 1 Data'!I57,'Partner 4 Data'!I57)</f>
        <v>1501</v>
      </c>
      <c r="J57" s="129">
        <f>SUM('Partner 2 Data'!J57,'Partner 3 Data'!J57,'Partner 1 Data'!J57,'Partner 4 Data'!J57)</f>
        <v>4845.7299999999996</v>
      </c>
      <c r="K57" s="129">
        <f>SUM('Partner 2 Data'!K57,'Partner 3 Data'!K57,'Partner 1 Data'!K57,'Partner 4 Data'!K57)</f>
        <v>5279.43</v>
      </c>
      <c r="L57" s="129">
        <f>SUM('Partner 2 Data'!L57,'Partner 3 Data'!L57,'Partner 1 Data'!L57,'Partner 4 Data'!L56)</f>
        <v>4687.33</v>
      </c>
      <c r="M57" s="129">
        <f>SUM('Partner 2 Data'!M57,'Partner 3 Data'!M57,'Partner 1 Data'!M57,'Partner 4 Data'!M57)</f>
        <v>0</v>
      </c>
      <c r="N57" s="129">
        <f>SUM('Partner 2 Data'!N57,'Partner 3 Data'!N57,'Partner 1 Data'!N57,'Partner 4 Data'!N57)</f>
        <v>0</v>
      </c>
      <c r="O57" s="129">
        <f>SUM('Partner 2 Data'!O57,'Partner 3 Data'!O57,'Partner 1 Data'!O57,'Partner 4 Data'!O57)</f>
        <v>0</v>
      </c>
      <c r="P57" s="129">
        <f>SUM('Partner 2 Data'!P57,'Partner 3 Data'!P57,'Partner 1 Data'!P57,'Partner 4 Data'!P57)</f>
        <v>0</v>
      </c>
      <c r="Q57" s="129">
        <f>SUM('Partner 2 Data'!Q57,'Partner 3 Data'!Q57,'Partner 1 Data'!Q57,'Partner 4 Data'!Q57)</f>
        <v>0</v>
      </c>
      <c r="R57" s="438">
        <f>SUM('Partner 2 Data'!R57,'Partner 3 Data'!R57,'Partner 1 Data'!R57,'Partner 4 Data'!R57)</f>
        <v>0</v>
      </c>
    </row>
    <row r="58" spans="1:18" x14ac:dyDescent="0.25">
      <c r="A58" s="590" t="s">
        <v>18</v>
      </c>
      <c r="B58" s="591"/>
      <c r="C58" s="128">
        <f t="shared" si="1"/>
        <v>0</v>
      </c>
      <c r="D58" s="129">
        <f>SUM('Partner 2 Data'!D58,'Partner 3 Data'!D58,'Partner 1 Data'!D58,'Partner 4 Data'!D58)</f>
        <v>0</v>
      </c>
      <c r="E58" s="129">
        <f>SUM('Partner 2 Data'!E58,'Partner 3 Data'!E58,'Partner 1 Data'!E58,'Partner 4 Data'!E58)</f>
        <v>0</v>
      </c>
      <c r="F58" s="129">
        <f>SUM('Partner 2 Data'!F58,'Partner 3 Data'!F58,'Partner 1 Data'!F58,'Partner 4 Data'!F58)</f>
        <v>0</v>
      </c>
      <c r="G58" s="129">
        <f>SUM('Partner 2 Data'!G58,'Partner 3 Data'!G58,'Partner 1 Data'!G58,'Partner 4 Data'!G58)</f>
        <v>0</v>
      </c>
      <c r="H58" s="129">
        <f>SUM('Partner 2 Data'!H58,'Partner 3 Data'!H58,'Partner 1 Data'!H58,'Partner 4 Data'!H58)</f>
        <v>0</v>
      </c>
      <c r="I58" s="129">
        <f>SUM('Partner 2 Data'!I58,'Partner 3 Data'!I58,'Partner 1 Data'!I58,'Partner 4 Data'!I58)</f>
        <v>0</v>
      </c>
      <c r="J58" s="129">
        <f>SUM('Partner 2 Data'!J58,'Partner 3 Data'!J58,'Partner 1 Data'!J58,'Partner 4 Data'!J58)</f>
        <v>0</v>
      </c>
      <c r="K58" s="129">
        <f>SUM('Partner 2 Data'!K58,'Partner 3 Data'!K58,'Partner 1 Data'!K58,'Partner 4 Data'!K58)</f>
        <v>0</v>
      </c>
      <c r="L58" s="129">
        <f>SUM('Partner 2 Data'!L58,'Partner 3 Data'!L58,'Partner 1 Data'!L58,'Partner 4 Data'!L58)</f>
        <v>0</v>
      </c>
      <c r="M58" s="129">
        <f>SUM('Partner 2 Data'!M58,'Partner 3 Data'!M58,'Partner 1 Data'!M58,'Partner 4 Data'!M58)</f>
        <v>0</v>
      </c>
      <c r="N58" s="129">
        <f>SUM('Partner 2 Data'!N58,'Partner 3 Data'!N58,'Partner 1 Data'!N58,'Partner 4 Data'!N58)</f>
        <v>0</v>
      </c>
      <c r="O58" s="129">
        <f>SUM('Partner 2 Data'!O58,'Partner 3 Data'!O58,'Partner 1 Data'!O58,'Partner 4 Data'!O58)</f>
        <v>0</v>
      </c>
      <c r="P58" s="129">
        <f>SUM('Partner 2 Data'!P58,'Partner 3 Data'!P58,'Partner 1 Data'!P58,'Partner 4 Data'!P58)</f>
        <v>0</v>
      </c>
      <c r="Q58" s="129">
        <f>SUM('Partner 2 Data'!Q58,'Partner 3 Data'!Q58,'Partner 1 Data'!Q58,'Partner 4 Data'!Q58)</f>
        <v>0</v>
      </c>
      <c r="R58" s="438">
        <f>SUM('Partner 2 Data'!R58,'Partner 3 Data'!R58,'Partner 1 Data'!R58,'Partner 4 Data'!R58)</f>
        <v>0</v>
      </c>
    </row>
    <row r="59" spans="1:18" x14ac:dyDescent="0.25">
      <c r="A59" s="590" t="s">
        <v>19</v>
      </c>
      <c r="B59" s="591"/>
      <c r="C59" s="128">
        <f t="shared" si="1"/>
        <v>50</v>
      </c>
      <c r="D59" s="129">
        <f>SUM('Partner 2 Data'!D59,'Partner 3 Data'!D59,'Partner 1 Data'!D59,'Partner 4 Data'!D59)</f>
        <v>0</v>
      </c>
      <c r="E59" s="129">
        <f>SUM('Partner 2 Data'!E59,'Partner 3 Data'!E59,'Partner 1 Data'!E59,'Partner 4 Data'!E59)</f>
        <v>0</v>
      </c>
      <c r="F59" s="129">
        <f>SUM('Partner 2 Data'!F59,'Partner 3 Data'!F59,'Partner 1 Data'!F59,'Partner 4 Data'!F59)</f>
        <v>50</v>
      </c>
      <c r="G59" s="129">
        <f>SUM('Partner 2 Data'!G59,'Partner 3 Data'!G59,'Partner 1 Data'!G59,'Partner 4 Data'!G59)</f>
        <v>0</v>
      </c>
      <c r="H59" s="129">
        <f>SUM('Partner 2 Data'!H59,'Partner 3 Data'!H59,'Partner 1 Data'!H59,'Partner 4 Data'!H59)</f>
        <v>0</v>
      </c>
      <c r="I59" s="129">
        <f>SUM('Partner 2 Data'!I59,'Partner 3 Data'!I59,'Partner 1 Data'!I59,'Partner 4 Data'!I59)</f>
        <v>0</v>
      </c>
      <c r="J59" s="129">
        <f>SUM('Partner 2 Data'!J59,'Partner 3 Data'!J59,'Partner 1 Data'!J59,'Partner 4 Data'!J59)</f>
        <v>0</v>
      </c>
      <c r="K59" s="129">
        <f>SUM('Partner 2 Data'!K59,'Partner 3 Data'!K59,'Partner 1 Data'!K59,'Partner 4 Data'!K59)</f>
        <v>0</v>
      </c>
      <c r="L59" s="129">
        <f>SUM('Partner 2 Data'!L59,'Partner 3 Data'!L59,'Partner 1 Data'!L59,'Partner 4 Data'!L59)</f>
        <v>0</v>
      </c>
      <c r="M59" s="129">
        <f>SUM('Partner 2 Data'!M59,'Partner 3 Data'!M59,'Partner 1 Data'!M59,'Partner 4 Data'!M59)</f>
        <v>0</v>
      </c>
      <c r="N59" s="129">
        <f>SUM('Partner 2 Data'!N59,'Partner 3 Data'!N59,'Partner 1 Data'!N59,'Partner 4 Data'!N59)</f>
        <v>0</v>
      </c>
      <c r="O59" s="129">
        <f>SUM('Partner 2 Data'!O59,'Partner 3 Data'!O59,'Partner 1 Data'!O59,'Partner 4 Data'!O59)</f>
        <v>0</v>
      </c>
      <c r="P59" s="129">
        <f>SUM('Partner 2 Data'!P59,'Partner 3 Data'!P59,'Partner 1 Data'!P59,'Partner 4 Data'!P59)</f>
        <v>0</v>
      </c>
      <c r="Q59" s="129">
        <f>SUM('Partner 2 Data'!Q59,'Partner 3 Data'!Q59,'Partner 1 Data'!Q59,'Partner 4 Data'!Q59)</f>
        <v>0</v>
      </c>
      <c r="R59" s="438">
        <f>SUM('Partner 2 Data'!R59,'Partner 3 Data'!R59,'Partner 1 Data'!R59,'Partner 4 Data'!R59)</f>
        <v>0</v>
      </c>
    </row>
    <row r="60" spans="1:18" x14ac:dyDescent="0.25">
      <c r="A60" s="590" t="s">
        <v>20</v>
      </c>
      <c r="B60" s="591"/>
      <c r="C60" s="128">
        <f t="shared" si="1"/>
        <v>26099.269999999997</v>
      </c>
      <c r="D60" s="129">
        <f>SUM('Partner 2 Data'!D60,'Partner 3 Data'!D60,'Partner 1 Data'!D60,'Partner 4 Data'!D60)</f>
        <v>2.2400000000000002</v>
      </c>
      <c r="E60" s="129">
        <f>SUM('Partner 2 Data'!E60,'Partner 3 Data'!E60,'Partner 1 Data'!E60,'Partner 4 Data'!E60)</f>
        <v>125.2</v>
      </c>
      <c r="F60" s="129">
        <f>SUM('Partner 2 Data'!F60,'Partner 3 Data'!F60,'Partner 1 Data'!F60,'Partner 4 Data'!F60)</f>
        <v>33.38000000000001</v>
      </c>
      <c r="G60" s="129">
        <f>SUM('Partner 2 Data'!G60,'Partner 3 Data'!G60,'Partner 1 Data'!G60,'Partner 4 Data'!G60)</f>
        <v>-115</v>
      </c>
      <c r="H60" s="129">
        <f>SUM('Partner 2 Data'!H60,'Partner 3 Data'!H60,'Partner 1 Data'!H60,'Partner 4 Data'!H60)</f>
        <v>238.76999999999998</v>
      </c>
      <c r="I60" s="129">
        <f>SUM('Partner 2 Data'!I60,'Partner 3 Data'!I60,'Partner 1 Data'!I60,'Partner 4 Data'!I60)</f>
        <v>1057</v>
      </c>
      <c r="J60" s="129">
        <f>SUM('Partner 2 Data'!J60,'Partner 3 Data'!J60,'Partner 1 Data'!J60,'Partner 4 Data'!J60)</f>
        <v>8454.91</v>
      </c>
      <c r="K60" s="129">
        <f>SUM('Partner 2 Data'!K60,'Partner 3 Data'!K60,'Partner 1 Data'!K60,'Partner 4 Data'!K60)</f>
        <v>10064.379999999999</v>
      </c>
      <c r="L60" s="129">
        <f>SUM('Partner 2 Data'!L60,'Partner 3 Data'!L60,'Partner 1 Data'!L60,'Partner 4 Data'!L60)</f>
        <v>6238.39</v>
      </c>
      <c r="M60" s="129">
        <f>SUM('Partner 2 Data'!M60,'Partner 3 Data'!M60,'Partner 1 Data'!M60,'Partner 4 Data'!M60)</f>
        <v>0</v>
      </c>
      <c r="N60" s="129">
        <f>SUM('Partner 2 Data'!N60,'Partner 3 Data'!N60,'Partner 1 Data'!N60,'Partner 4 Data'!N60)</f>
        <v>0</v>
      </c>
      <c r="O60" s="129">
        <f>SUM('Partner 2 Data'!O60,'Partner 3 Data'!O60,'Partner 1 Data'!O60,'Partner 4 Data'!O60)</f>
        <v>0</v>
      </c>
      <c r="P60" s="129">
        <f>SUM('Partner 2 Data'!P60,'Partner 3 Data'!P60,'Partner 1 Data'!P60,'Partner 4 Data'!P60)</f>
        <v>0</v>
      </c>
      <c r="Q60" s="129">
        <f>SUM('Partner 2 Data'!Q60,'Partner 3 Data'!Q60,'Partner 1 Data'!Q60,'Partner 4 Data'!Q60)</f>
        <v>0</v>
      </c>
      <c r="R60" s="438">
        <f>SUM('Partner 2 Data'!R60,'Partner 3 Data'!R60,'Partner 1 Data'!R60,'Partner 4 Data'!R60)</f>
        <v>0</v>
      </c>
    </row>
    <row r="61" spans="1:18" x14ac:dyDescent="0.25">
      <c r="A61" s="590" t="s">
        <v>21</v>
      </c>
      <c r="B61" s="591"/>
      <c r="C61" s="128">
        <f t="shared" si="1"/>
        <v>23256</v>
      </c>
      <c r="D61" s="129">
        <f>SUM('Partner 2 Data'!D61,'Partner 3 Data'!D61,'Partner 1 Data'!D61,'Partner 4 Data'!D61)</f>
        <v>0</v>
      </c>
      <c r="E61" s="129">
        <f>SUM('Partner 2 Data'!E61,'Partner 3 Data'!E61,'Partner 1 Data'!E61,'Partner 4 Data'!E61)</f>
        <v>0</v>
      </c>
      <c r="F61" s="129">
        <f>SUM('Partner 2 Data'!F61,'Partner 3 Data'!F61,'Partner 1 Data'!F61,'Partner 4 Data'!F61)</f>
        <v>0</v>
      </c>
      <c r="G61" s="129">
        <f>SUM('Partner 2 Data'!G61,'Partner 3 Data'!G61,'Partner 1 Data'!G61,'Partner 4 Data'!G61)</f>
        <v>0</v>
      </c>
      <c r="H61" s="129">
        <f>SUM('Partner 2 Data'!H61,'Partner 3 Data'!H61,'Partner 1 Data'!H61,'Partner 4 Data'!H61)</f>
        <v>0</v>
      </c>
      <c r="I61" s="129">
        <f>SUM('Partner 2 Data'!I61,'Partner 3 Data'!I61,'Partner 1 Data'!I61,'Partner 4 Data'!I61)</f>
        <v>0</v>
      </c>
      <c r="J61" s="129">
        <f>SUM('Partner 2 Data'!J61,'Partner 3 Data'!J61,'Partner 1 Data'!J61,'Partner 4 Data'!J61)</f>
        <v>0</v>
      </c>
      <c r="K61" s="129">
        <f>SUM('Partner 2 Data'!K61,'Partner 3 Data'!K61,'Partner 1 Data'!K61,'Partner 4 Data'!K61)</f>
        <v>23256</v>
      </c>
      <c r="L61" s="129">
        <f>SUM('Partner 2 Data'!L61,'Partner 3 Data'!L61,'Partner 1 Data'!L61,'Partner 4 Data'!L61)</f>
        <v>0</v>
      </c>
      <c r="M61" s="129">
        <f>SUM('Partner 2 Data'!M61,'Partner 3 Data'!M61,'Partner 1 Data'!M61,'Partner 4 Data'!M61)</f>
        <v>0</v>
      </c>
      <c r="N61" s="129">
        <f>SUM('Partner 2 Data'!N61,'Partner 3 Data'!N61,'Partner 1 Data'!N61,'Partner 4 Data'!N61)</f>
        <v>0</v>
      </c>
      <c r="O61" s="129">
        <f>SUM('Partner 2 Data'!O61,'Partner 3 Data'!O61,'Partner 1 Data'!O61,'Partner 4 Data'!O61)</f>
        <v>0</v>
      </c>
      <c r="P61" s="129">
        <f>SUM('Partner 2 Data'!P61,'Partner 3 Data'!P61,'Partner 1 Data'!P61,'Partner 4 Data'!P61)</f>
        <v>0</v>
      </c>
      <c r="Q61" s="129">
        <f>SUM('Partner 2 Data'!Q61,'Partner 3 Data'!Q61,'Partner 1 Data'!Q61,'Partner 4 Data'!Q61)</f>
        <v>0</v>
      </c>
      <c r="R61" s="438">
        <f>SUM('Partner 2 Data'!R61,'Partner 3 Data'!R61,'Partner 1 Data'!R61,'Partner 4 Data'!R61)</f>
        <v>0</v>
      </c>
    </row>
    <row r="62" spans="1:18" x14ac:dyDescent="0.25">
      <c r="A62" s="590" t="s">
        <v>12</v>
      </c>
      <c r="B62" s="591"/>
      <c r="C62" s="128">
        <f t="shared" si="1"/>
        <v>224123.48</v>
      </c>
      <c r="D62" s="129">
        <f>SUM('Partner 2 Data'!D62,'Partner 3 Data'!D62,'Partner 1 Data'!D62,'Partner 4 Data'!D62)</f>
        <v>0</v>
      </c>
      <c r="E62" s="129">
        <f>SUM('Partner 2 Data'!E62,'Partner 3 Data'!E62,'Partner 1 Data'!E62,'Partner 4 Data'!E62)</f>
        <v>8191</v>
      </c>
      <c r="F62" s="129">
        <f>SUM('Partner 2 Data'!F62,'Partner 3 Data'!F62,'Partner 1 Data'!F62,'Partner 4 Data'!F62)</f>
        <v>4800</v>
      </c>
      <c r="G62" s="129">
        <f>SUM('Partner 2 Data'!G62,'Partner 3 Data'!G62,'Partner 1 Data'!G62,'Partner 4 Data'!G62)</f>
        <v>17126</v>
      </c>
      <c r="H62" s="129">
        <f>SUM('Partner 2 Data'!H62,'Partner 3 Data'!H62,'Partner 1 Data'!H62,'Partner 4 Data'!H62)</f>
        <v>31368</v>
      </c>
      <c r="I62" s="129">
        <f>SUM('Partner 2 Data'!I62,'Partner 3 Data'!I62,'Partner 1 Data'!I62,'Partner 4 Data'!I62)</f>
        <v>43255</v>
      </c>
      <c r="J62" s="129">
        <f>SUM('Partner 2 Data'!J62,'Partner 3 Data'!J62,'Partner 1 Data'!J62,'Partner 4 Data'!J62)</f>
        <v>19870</v>
      </c>
      <c r="K62" s="129">
        <f>SUM('Partner 2 Data'!K62,'Partner 3 Data'!K62,'Partner 1 Data'!K62,'Partner 4 Data'!K62)</f>
        <v>61668.480000000003</v>
      </c>
      <c r="L62" s="129">
        <f>SUM('Partner 2 Data'!L62,'Partner 3 Data'!L62,'Partner 1 Data'!L62,'Partner 4 Data'!L62)</f>
        <v>37845</v>
      </c>
      <c r="M62" s="129">
        <f>SUM('Partner 2 Data'!M62,'Partner 3 Data'!M62,'Partner 1 Data'!M62,'Partner 4 Data'!M62)</f>
        <v>0</v>
      </c>
      <c r="N62" s="129">
        <f>SUM('Partner 2 Data'!N62,'Partner 3 Data'!N62,'Partner 1 Data'!N62,'Partner 4 Data'!N62)</f>
        <v>0</v>
      </c>
      <c r="O62" s="129">
        <f>SUM('Partner 2 Data'!O62,'Partner 3 Data'!O62,'Partner 1 Data'!O62,'Partner 4 Data'!O62)</f>
        <v>0</v>
      </c>
      <c r="P62" s="129">
        <f>SUM('Partner 2 Data'!P62,'Partner 3 Data'!P62,'Partner 1 Data'!P62,'Partner 4 Data'!P62)</f>
        <v>0</v>
      </c>
      <c r="Q62" s="129">
        <f>SUM('Partner 2 Data'!Q62,'Partner 3 Data'!Q62,'Partner 1 Data'!Q62,'Partner 4 Data'!Q62)</f>
        <v>0</v>
      </c>
      <c r="R62" s="438">
        <f>SUM('Partner 2 Data'!R62,'Partner 3 Data'!R62,'Partner 1 Data'!R62,'Partner 4 Data'!R62)</f>
        <v>0</v>
      </c>
    </row>
    <row r="63" spans="1:18" x14ac:dyDescent="0.25">
      <c r="A63" s="590" t="s">
        <v>13</v>
      </c>
      <c r="B63" s="591"/>
      <c r="C63" s="128">
        <f t="shared" si="1"/>
        <v>21902.1</v>
      </c>
      <c r="D63" s="129">
        <f>SUM('Partner 2 Data'!D63,'Partner 3 Data'!D63,'Partner 1 Data'!D63,'Partner 4 Data'!D63)</f>
        <v>0</v>
      </c>
      <c r="E63" s="129">
        <f>SUM('Partner 2 Data'!E63,'Partner 3 Data'!E63,'Partner 1 Data'!E63,'Partner 4 Data'!E63)</f>
        <v>0</v>
      </c>
      <c r="F63" s="129">
        <f>SUM('Partner 2 Data'!F63,'Partner 3 Data'!F63,'Partner 1 Data'!F63,'Partner 4 Data'!F63)</f>
        <v>0</v>
      </c>
      <c r="G63" s="129">
        <f>SUM('Partner 2 Data'!G63,'Partner 3 Data'!G63,'Partner 1 Data'!G63,'Partner 4 Data'!G63)</f>
        <v>0</v>
      </c>
      <c r="H63" s="129">
        <f>SUM('Partner 2 Data'!H63,'Partner 3 Data'!H63,'Partner 1 Data'!H63,'Partner 4 Data'!H63)</f>
        <v>0</v>
      </c>
      <c r="I63" s="129">
        <f>SUM('Partner 2 Data'!I63,'Partner 3 Data'!I63,'Partner 1 Data'!I63,'Partner 4 Data'!I63)</f>
        <v>17034</v>
      </c>
      <c r="J63" s="129">
        <f>SUM('Partner 2 Data'!J63,'Partner 3 Data'!J63,'Partner 1 Data'!J63,'Partner 4 Data'!J63)</f>
        <v>527.5</v>
      </c>
      <c r="K63" s="129">
        <f>SUM('Partner 2 Data'!K63,'Partner 3 Data'!K63,'Partner 1 Data'!K63,'Partner 4 Data'!K63)</f>
        <v>2409.6</v>
      </c>
      <c r="L63" s="129">
        <f>SUM('Partner 2 Data'!L63,'Partner 3 Data'!L63,'Partner 1 Data'!L63,'Partner 4 Data'!L63)</f>
        <v>1931</v>
      </c>
      <c r="M63" s="129">
        <f>SUM('Partner 2 Data'!M63,'Partner 3 Data'!M63,'Partner 1 Data'!M63,'Partner 4 Data'!M63)</f>
        <v>0</v>
      </c>
      <c r="N63" s="129">
        <f>SUM('Partner 2 Data'!N63,'Partner 3 Data'!N63,'Partner 1 Data'!N63,'Partner 4 Data'!N63)</f>
        <v>0</v>
      </c>
      <c r="O63" s="129">
        <f>SUM('Partner 2 Data'!O63,'Partner 3 Data'!O63,'Partner 1 Data'!O63,'Partner 4 Data'!O63)</f>
        <v>0</v>
      </c>
      <c r="P63" s="129">
        <f>SUM('Partner 2 Data'!P63,'Partner 3 Data'!P63,'Partner 1 Data'!P63,'Partner 4 Data'!P63)</f>
        <v>0</v>
      </c>
      <c r="Q63" s="129">
        <f>SUM('Partner 2 Data'!Q63,'Partner 3 Data'!Q63,'Partner 1 Data'!Q63,'Partner 4 Data'!Q63)</f>
        <v>0</v>
      </c>
      <c r="R63" s="438">
        <f>SUM('Partner 2 Data'!R63,'Partner 3 Data'!R63,'Partner 1 Data'!R63,'Partner 4 Data'!R63)</f>
        <v>0</v>
      </c>
    </row>
    <row r="64" spans="1:18" x14ac:dyDescent="0.25">
      <c r="A64" s="590" t="s">
        <v>14</v>
      </c>
      <c r="B64" s="591"/>
      <c r="C64" s="128">
        <f t="shared" si="1"/>
        <v>13634.54</v>
      </c>
      <c r="D64" s="129">
        <f>SUM('Partner 2 Data'!D64,'Partner 3 Data'!D64,'Partner 1 Data'!D64,'Partner 4 Data'!D64)</f>
        <v>58.32</v>
      </c>
      <c r="E64" s="129">
        <f>SUM('Partner 2 Data'!E64,'Partner 3 Data'!E64,'Partner 1 Data'!E64,'Partner 4 Data'!E64)</f>
        <v>1166.72</v>
      </c>
      <c r="F64" s="129">
        <f>SUM('Partner 2 Data'!F64,'Partner 3 Data'!F64,'Partner 1 Data'!F64,'Partner 4 Data'!F64)</f>
        <v>1216.04</v>
      </c>
      <c r="G64" s="129">
        <f>SUM('Partner 2 Data'!G64,'Partner 3 Data'!G64,'Partner 1 Data'!G64,'Partner 4 Data'!G64)</f>
        <v>89</v>
      </c>
      <c r="H64" s="129">
        <f>SUM('Partner 2 Data'!H64,'Partner 3 Data'!H64,'Partner 1 Data'!H64,'Partner 4 Data'!H64)</f>
        <v>122.25</v>
      </c>
      <c r="I64" s="129">
        <f>SUM('Partner 2 Data'!I64,'Partner 3 Data'!I64,'Partner 1 Data'!I64,'Partner 4 Data'!I64)</f>
        <v>266</v>
      </c>
      <c r="J64" s="129">
        <f>SUM('Partner 2 Data'!J64,'Partner 3 Data'!J64,'Partner 1 Data'!J64,'Partner 4 Data'!J64)</f>
        <v>1482.21</v>
      </c>
      <c r="K64" s="129">
        <f>SUM('Partner 2 Data'!K64,'Partner 3 Data'!K64,'Partner 1 Data'!K64,'Partner 4 Data'!K64)</f>
        <v>1471</v>
      </c>
      <c r="L64" s="129">
        <f>SUM('Partner 2 Data'!L64,'Partner 3 Data'!L64,'Partner 1 Data'!L64,'Partner 4 Data'!L64)</f>
        <v>7763</v>
      </c>
      <c r="M64" s="129">
        <f>SUM('Partner 2 Data'!M64,'Partner 3 Data'!M64,'Partner 1 Data'!M64,'Partner 4 Data'!M64)</f>
        <v>0</v>
      </c>
      <c r="N64" s="129">
        <f>SUM('Partner 2 Data'!N64,'Partner 3 Data'!N64,'Partner 1 Data'!N64,'Partner 4 Data'!N64)</f>
        <v>0</v>
      </c>
      <c r="O64" s="129">
        <f>SUM('Partner 2 Data'!O64,'Partner 3 Data'!O64,'Partner 1 Data'!O64,'Partner 4 Data'!O64)</f>
        <v>0</v>
      </c>
      <c r="P64" s="129">
        <f>SUM('Partner 2 Data'!P64,'Partner 3 Data'!P64,'Partner 1 Data'!P64,'Partner 4 Data'!P64)</f>
        <v>0</v>
      </c>
      <c r="Q64" s="129">
        <f>SUM('Partner 2 Data'!Q64,'Partner 3 Data'!Q64,'Partner 1 Data'!Q64,'Partner 4 Data'!Q64)</f>
        <v>0</v>
      </c>
      <c r="R64" s="438">
        <f>SUM('Partner 2 Data'!R64,'Partner 3 Data'!R64,'Partner 1 Data'!R64,'Partner 4 Data'!R64)</f>
        <v>0</v>
      </c>
    </row>
    <row r="65" spans="1:18" ht="15.75" thickBot="1" x14ac:dyDescent="0.3">
      <c r="A65" s="598" t="s">
        <v>22</v>
      </c>
      <c r="B65" s="599"/>
      <c r="C65" s="128">
        <f t="shared" si="1"/>
        <v>84556.000000000015</v>
      </c>
      <c r="D65" s="129">
        <f>SUM('Partner 2 Data'!D65,'Partner 3 Data'!D65,'Partner 1 Data'!D65,'Partner 4 Data'!D65)</f>
        <v>1855.18</v>
      </c>
      <c r="E65" s="129">
        <f>SUM('Partner 2 Data'!E65,'Partner 3 Data'!E65,'Partner 1 Data'!E65,'Partner 4 Data'!E65)</f>
        <v>2351.8199999999997</v>
      </c>
      <c r="F65" s="129">
        <f>SUM('Partner 2 Data'!F65,'Partner 3 Data'!F65,'Partner 1 Data'!F65,'Partner 4 Data'!F65)</f>
        <v>5403.3600000000006</v>
      </c>
      <c r="G65" s="129">
        <f>SUM('Partner 2 Data'!G65,'Partner 3 Data'!G65,'Partner 1 Data'!G65,'Partner 4 Data'!G65)</f>
        <v>13797</v>
      </c>
      <c r="H65" s="129">
        <f>SUM('Partner 2 Data'!H65,'Partner 3 Data'!H65,'Partner 1 Data'!H65,'Partner 4 Data'!H65)</f>
        <v>6523</v>
      </c>
      <c r="I65" s="129">
        <f>SUM('Partner 2 Data'!I65,'Partner 3 Data'!I65,'Partner 1 Data'!I65,'Partner 4 Data'!I65)</f>
        <v>3801</v>
      </c>
      <c r="J65" s="129">
        <f>SUM('Partner 2 Data'!J65,'Partner 3 Data'!J65,'Partner 1 Data'!J65,'Partner 4 Data'!J65)</f>
        <v>15833.22</v>
      </c>
      <c r="K65" s="129">
        <f>SUM('Partner 2 Data'!K65,'Partner 3 Data'!K65,'Partner 1 Data'!K65,'Partner 4 Data'!K65)</f>
        <v>31235.43</v>
      </c>
      <c r="L65" s="129">
        <f>SUM('Partner 2 Data'!L65,'Partner 3 Data'!L65,'Partner 1 Data'!L65,'Partner 4 Data'!L65)</f>
        <v>3755.99</v>
      </c>
      <c r="M65" s="129">
        <f>SUM('Partner 2 Data'!M65,'Partner 3 Data'!M65,'Partner 1 Data'!M65,'Partner 4 Data'!M65)</f>
        <v>0</v>
      </c>
      <c r="N65" s="129">
        <f>SUM('Partner 2 Data'!N65,'Partner 3 Data'!N65,'Partner 1 Data'!N65,'Partner 4 Data'!N65)</f>
        <v>0</v>
      </c>
      <c r="O65" s="129">
        <f>SUM('Partner 2 Data'!O65,'Partner 3 Data'!O65,'Partner 1 Data'!O65,'Partner 4 Data'!O65)</f>
        <v>0</v>
      </c>
      <c r="P65" s="129">
        <f>SUM('Partner 2 Data'!P65,'Partner 3 Data'!P65,'Partner 1 Data'!P65,'Partner 4 Data'!P65)</f>
        <v>0</v>
      </c>
      <c r="Q65" s="129">
        <f>SUM('Partner 2 Data'!Q65,'Partner 3 Data'!Q65,'Partner 1 Data'!Q65,'Partner 4 Data'!Q65)</f>
        <v>0</v>
      </c>
      <c r="R65" s="438">
        <f>SUM('Partner 2 Data'!R65,'Partner 3 Data'!R65,'Partner 1 Data'!R65,'Partner 4 Data'!R65)</f>
        <v>0</v>
      </c>
    </row>
    <row r="66" spans="1:18" ht="15.75" thickBot="1" x14ac:dyDescent="0.3">
      <c r="A66" s="600" t="s">
        <v>87</v>
      </c>
      <c r="B66" s="601"/>
      <c r="C66" s="137">
        <f>SUM(C53:C65)</f>
        <v>855443.8600000001</v>
      </c>
      <c r="D66" s="138">
        <f>SUM(D52:D65)</f>
        <v>2290.84</v>
      </c>
      <c r="E66" s="138">
        <f t="shared" ref="E66:R66" si="2">SUM(E52:E65)</f>
        <v>28239.460000000003</v>
      </c>
      <c r="F66" s="138">
        <f t="shared" si="2"/>
        <v>39068.410000000003</v>
      </c>
      <c r="G66" s="138">
        <f t="shared" si="2"/>
        <v>69507.91</v>
      </c>
      <c r="H66" s="138">
        <f t="shared" si="2"/>
        <v>85170.65</v>
      </c>
      <c r="I66" s="138">
        <f t="shared" si="2"/>
        <v>105579</v>
      </c>
      <c r="J66" s="138">
        <f t="shared" si="2"/>
        <v>132609.28</v>
      </c>
      <c r="K66" s="138">
        <f t="shared" si="2"/>
        <v>222896.50000000003</v>
      </c>
      <c r="L66" s="138">
        <f t="shared" si="2"/>
        <v>170081.81</v>
      </c>
      <c r="M66" s="138">
        <f t="shared" si="2"/>
        <v>0</v>
      </c>
      <c r="N66" s="138">
        <f t="shared" si="2"/>
        <v>0</v>
      </c>
      <c r="O66" s="138">
        <f t="shared" si="2"/>
        <v>0</v>
      </c>
      <c r="P66" s="138">
        <f t="shared" si="2"/>
        <v>0</v>
      </c>
      <c r="Q66" s="138">
        <f t="shared" si="2"/>
        <v>0</v>
      </c>
      <c r="R66" s="439">
        <f t="shared" si="2"/>
        <v>0</v>
      </c>
    </row>
    <row r="67" spans="1:18" x14ac:dyDescent="0.25">
      <c r="A67" s="602" t="s">
        <v>33</v>
      </c>
      <c r="B67" s="603"/>
      <c r="C67" s="103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440"/>
    </row>
    <row r="68" spans="1:18" x14ac:dyDescent="0.25">
      <c r="A68" s="604" t="s">
        <v>8</v>
      </c>
      <c r="B68" s="605"/>
      <c r="C68" s="285">
        <f>SUM(D68:G68)</f>
        <v>21583.78</v>
      </c>
      <c r="D68" s="140">
        <f>SUM('Partner 2 Data'!D68,'Partner 3 Data'!D68,'Partner 1 Data'!D68,'Partner 4 Data'!D68)</f>
        <v>0</v>
      </c>
      <c r="E68" s="140">
        <f>SUM('Partner 2 Data'!E68,'Partner 3 Data'!E68,'Partner 1 Data'!E68,'Partner 4 Data'!E68)</f>
        <v>11267.48</v>
      </c>
      <c r="F68" s="140">
        <f>SUM('Partner 2 Data'!F68,'Partner 3 Data'!F68,'Partner 1 Data'!F68,'Partner 4 Data'!F68)</f>
        <v>7573.5499999999993</v>
      </c>
      <c r="G68" s="140">
        <f>SUM('Partner 2 Data'!G68,'Partner 3 Data'!G68,'Partner 1 Data'!G68,'Partner 4 Data'!G68)</f>
        <v>2742.75</v>
      </c>
      <c r="H68" s="140">
        <f>SUM('Partner 2 Data'!H68,'Partner 3 Data'!H68,'Partner 1 Data'!H68,'Partner 4 Data'!H68)</f>
        <v>3961.75</v>
      </c>
      <c r="I68" s="140">
        <f>SUM('Partner 2 Data'!I68,'Partner 3 Data'!I68,'Partner 1 Data'!I68,'Partner 4 Data'!I68)</f>
        <v>1572</v>
      </c>
      <c r="J68" s="140">
        <f>SUM('Partner 2 Data'!J68,'Partner 3 Data'!J68,'Partner 1 Data'!J68,'Partner 4 Data'!J68)</f>
        <v>8574.380000000001</v>
      </c>
      <c r="K68" s="140">
        <f>SUM('Partner 2 Data'!K68,'Partner 3 Data'!K68,'Partner 1 Data'!K68,'Partner 4 Data'!K68)</f>
        <v>0</v>
      </c>
      <c r="L68" s="140">
        <f>SUM('Partner 2 Data'!L68,'Partner 3 Data'!L68,'Partner 1 Data'!L68,'Partner 4 Data'!L68)</f>
        <v>1572</v>
      </c>
      <c r="M68" s="140">
        <f>SUM('Partner 2 Data'!M68,'Partner 3 Data'!M68,'Partner 1 Data'!M68,'Partner 4 Data'!M68)</f>
        <v>0</v>
      </c>
      <c r="N68" s="140">
        <f>SUM('Partner 2 Data'!N68,'Partner 3 Data'!N68,'Partner 1 Data'!N68,'Partner 4 Data'!N68)</f>
        <v>0</v>
      </c>
      <c r="O68" s="140">
        <f>SUM('Partner 2 Data'!O68,'Partner 3 Data'!O68,'Partner 1 Data'!O68,'Partner 4 Data'!O68)</f>
        <v>0</v>
      </c>
      <c r="P68" s="140">
        <f>SUM('Partner 2 Data'!P68,'Partner 3 Data'!P68,'Partner 1 Data'!P68,'Partner 4 Data'!P68)</f>
        <v>0</v>
      </c>
      <c r="Q68" s="140">
        <f>SUM('Partner 2 Data'!Q68,'Partner 3 Data'!Q68,'Partner 1 Data'!Q68,'Partner 4 Data'!Q68)</f>
        <v>0</v>
      </c>
      <c r="R68" s="441">
        <f>SUM('Partner 2 Data'!R68,'Partner 3 Data'!R68,'Partner 1 Data'!R68,'Partner 4 Data'!R68)</f>
        <v>0</v>
      </c>
    </row>
    <row r="69" spans="1:18" x14ac:dyDescent="0.25">
      <c r="A69" s="590" t="s">
        <v>9</v>
      </c>
      <c r="B69" s="591"/>
      <c r="C69" s="285">
        <f t="shared" ref="C69:C80" si="3">SUM(D69:G69)</f>
        <v>10169.299999999999</v>
      </c>
      <c r="D69" s="140">
        <f>SUM('Partner 2 Data'!D69,'Partner 3 Data'!D69,'Partner 1 Data'!D69,'Partner 4 Data'!D69)</f>
        <v>0</v>
      </c>
      <c r="E69" s="140">
        <f>SUM('Partner 2 Data'!E69,'Partner 3 Data'!E69,'Partner 1 Data'!E69,'Partner 4 Data'!E69)</f>
        <v>886.74</v>
      </c>
      <c r="F69" s="140">
        <f>SUM('Partner 2 Data'!F69,'Partner 3 Data'!F69,'Partner 1 Data'!F69,'Partner 4 Data'!F69)</f>
        <v>7495.9400000000005</v>
      </c>
      <c r="G69" s="140">
        <f>SUM('Partner 2 Data'!G69,'Partner 3 Data'!G69,'Partner 1 Data'!G69,'Partner 4 Data'!G69)</f>
        <v>1786.62</v>
      </c>
      <c r="H69" s="140">
        <f>SUM('Partner 2 Data'!H69,'Partner 3 Data'!H69,'Partner 1 Data'!H69,'Partner 4 Data'!H69)</f>
        <v>1698.62</v>
      </c>
      <c r="I69" s="140">
        <f>SUM('Partner 2 Data'!I69,'Partner 3 Data'!I69,'Partner 1 Data'!I69,'Partner 4 Data'!I69)</f>
        <v>737</v>
      </c>
      <c r="J69" s="140">
        <f>SUM('Partner 2 Data'!J69,'Partner 3 Data'!J69,'Partner 1 Data'!J69,'Partner 4 Data'!J69)</f>
        <v>2827.89</v>
      </c>
      <c r="K69" s="140">
        <f>SUM('Partner 2 Data'!K69,'Partner 3 Data'!K69,'Partner 1 Data'!K69,'Partner 4 Data'!K69)</f>
        <v>0</v>
      </c>
      <c r="L69" s="140">
        <f>SUM('Partner 2 Data'!L69,'Partner 3 Data'!L69,'Partner 1 Data'!L69,'Partner 4 Data'!L69)</f>
        <v>737</v>
      </c>
      <c r="M69" s="140">
        <f>SUM('Partner 2 Data'!M69,'Partner 3 Data'!M69,'Partner 1 Data'!M69,'Partner 4 Data'!M69)</f>
        <v>0</v>
      </c>
      <c r="N69" s="140">
        <f>SUM('Partner 2 Data'!N69,'Partner 3 Data'!N69,'Partner 1 Data'!N69,'Partner 4 Data'!N69)</f>
        <v>0</v>
      </c>
      <c r="O69" s="140">
        <f>SUM('Partner 2 Data'!O69,'Partner 3 Data'!O69,'Partner 1 Data'!O69,'Partner 4 Data'!O69)</f>
        <v>0</v>
      </c>
      <c r="P69" s="140">
        <f>SUM('Partner 2 Data'!P69,'Partner 3 Data'!P69,'Partner 1 Data'!P69,'Partner 4 Data'!P69)</f>
        <v>0</v>
      </c>
      <c r="Q69" s="140">
        <f>SUM('Partner 2 Data'!Q69,'Partner 3 Data'!Q69,'Partner 1 Data'!Q69,'Partner 4 Data'!Q69)</f>
        <v>0</v>
      </c>
      <c r="R69" s="441">
        <f>SUM('Partner 2 Data'!R69,'Partner 3 Data'!R69,'Partner 1 Data'!R69,'Partner 4 Data'!R69)</f>
        <v>0</v>
      </c>
    </row>
    <row r="70" spans="1:18" x14ac:dyDescent="0.25">
      <c r="A70" s="590" t="s">
        <v>10</v>
      </c>
      <c r="B70" s="591"/>
      <c r="C70" s="285">
        <f t="shared" si="3"/>
        <v>2568.81</v>
      </c>
      <c r="D70" s="140">
        <f>SUM('Partner 2 Data'!D70,'Partner 3 Data'!D70,'Partner 1 Data'!D70,'Partner 4 Data'!D70)</f>
        <v>0</v>
      </c>
      <c r="E70" s="140">
        <f>SUM('Partner 2 Data'!E70,'Partner 3 Data'!E70,'Partner 1 Data'!E70,'Partner 4 Data'!E70)</f>
        <v>0</v>
      </c>
      <c r="F70" s="140">
        <f>SUM('Partner 2 Data'!F70,'Partner 3 Data'!F70,'Partner 1 Data'!F70,'Partner 4 Data'!F70)</f>
        <v>1637.81</v>
      </c>
      <c r="G70" s="140">
        <f>SUM('Partner 2 Data'!G70,'Partner 3 Data'!G70,'Partner 1 Data'!G70,'Partner 4 Data'!G70)</f>
        <v>931</v>
      </c>
      <c r="H70" s="140">
        <f>SUM('Partner 2 Data'!H70,'Partner 3 Data'!H70,'Partner 1 Data'!H70,'Partner 4 Data'!H70)</f>
        <v>2109</v>
      </c>
      <c r="I70" s="140">
        <f>SUM('Partner 2 Data'!I70,'Partner 3 Data'!I70,'Partner 1 Data'!I70,'Partner 4 Data'!I70)</f>
        <v>999</v>
      </c>
      <c r="J70" s="140">
        <f>SUM('Partner 2 Data'!J70,'Partner 3 Data'!J70,'Partner 1 Data'!J70,'Partner 4 Data'!J70)</f>
        <v>441</v>
      </c>
      <c r="K70" s="140">
        <f>SUM('Partner 2 Data'!K70,'Partner 3 Data'!K70,'Partner 1 Data'!K70,'Partner 4 Data'!K70)</f>
        <v>0</v>
      </c>
      <c r="L70" s="140">
        <f>SUM('Partner 2 Data'!L70,'Partner 3 Data'!L70,'Partner 1 Data'!L70,'Partner 4 Data'!L70)</f>
        <v>0</v>
      </c>
      <c r="M70" s="140">
        <f>SUM('Partner 2 Data'!M70,'Partner 3 Data'!M70,'Partner 1 Data'!M70,'Partner 4 Data'!M70)</f>
        <v>0</v>
      </c>
      <c r="N70" s="140">
        <f>SUM('Partner 2 Data'!N70,'Partner 3 Data'!N70,'Partner 1 Data'!N70,'Partner 4 Data'!N70)</f>
        <v>0</v>
      </c>
      <c r="O70" s="140">
        <f>SUM('Partner 2 Data'!O70,'Partner 3 Data'!O70,'Partner 1 Data'!O70,'Partner 4 Data'!O70)</f>
        <v>0</v>
      </c>
      <c r="P70" s="140">
        <f>SUM('Partner 2 Data'!P70,'Partner 3 Data'!P70,'Partner 1 Data'!P70,'Partner 4 Data'!P70)</f>
        <v>0</v>
      </c>
      <c r="Q70" s="140">
        <f>SUM('Partner 2 Data'!Q70,'Partner 3 Data'!Q70,'Partner 1 Data'!Q70,'Partner 4 Data'!Q70)</f>
        <v>0</v>
      </c>
      <c r="R70" s="441">
        <f>SUM('Partner 2 Data'!R70,'Partner 3 Data'!R70,'Partner 1 Data'!R70,'Partner 4 Data'!R70)</f>
        <v>0</v>
      </c>
    </row>
    <row r="71" spans="1:18" x14ac:dyDescent="0.25">
      <c r="A71" s="590" t="s">
        <v>17</v>
      </c>
      <c r="B71" s="591"/>
      <c r="C71" s="285">
        <f t="shared" si="3"/>
        <v>0</v>
      </c>
      <c r="D71" s="140">
        <f>SUM('Partner 2 Data'!D71,'Partner 3 Data'!D71,'Partner 1 Data'!D71,'Partner 4 Data'!D71)</f>
        <v>0</v>
      </c>
      <c r="E71" s="140">
        <f>SUM('Partner 2 Data'!E71,'Partner 3 Data'!E71,'Partner 1 Data'!E71,'Partner 4 Data'!E71)</f>
        <v>0</v>
      </c>
      <c r="F71" s="140">
        <f>SUM('Partner 2 Data'!F71,'Partner 3 Data'!F71,'Partner 1 Data'!F71,'Partner 4 Data'!F71)</f>
        <v>0</v>
      </c>
      <c r="G71" s="140">
        <f>SUM('Partner 2 Data'!G71,'Partner 3 Data'!G71,'Partner 1 Data'!G71,'Partner 4 Data'!G71)</f>
        <v>0</v>
      </c>
      <c r="H71" s="140">
        <f>SUM('Partner 2 Data'!H71,'Partner 3 Data'!H71,'Partner 1 Data'!H71,'Partner 4 Data'!H71)</f>
        <v>0</v>
      </c>
      <c r="I71" s="140">
        <f>SUM('Partner 2 Data'!I71,'Partner 3 Data'!I71,'Partner 1 Data'!I71,'Partner 4 Data'!I71)</f>
        <v>0</v>
      </c>
      <c r="J71" s="140">
        <f>SUM('Partner 2 Data'!J71,'Partner 3 Data'!J71,'Partner 1 Data'!J71,'Partner 4 Data'!J71)</f>
        <v>0</v>
      </c>
      <c r="K71" s="140">
        <f>SUM('Partner 2 Data'!K71,'Partner 3 Data'!K71,'Partner 1 Data'!K71,'Partner 4 Data'!K71)</f>
        <v>0</v>
      </c>
      <c r="L71" s="140">
        <f>SUM('Partner 2 Data'!L71,'Partner 3 Data'!L71,'Partner 1 Data'!L71,'Partner 4 Data'!L71)</f>
        <v>0</v>
      </c>
      <c r="M71" s="140">
        <f>SUM('Partner 2 Data'!M71,'Partner 3 Data'!M71,'Partner 1 Data'!M71,'Partner 4 Data'!M71)</f>
        <v>0</v>
      </c>
      <c r="N71" s="140">
        <f>SUM('Partner 2 Data'!N71,'Partner 3 Data'!N71,'Partner 1 Data'!N71,'Partner 4 Data'!N71)</f>
        <v>0</v>
      </c>
      <c r="O71" s="140">
        <f>SUM('Partner 2 Data'!O71,'Partner 3 Data'!O71,'Partner 1 Data'!O71,'Partner 4 Data'!O71)</f>
        <v>0</v>
      </c>
      <c r="P71" s="140">
        <f>SUM('Partner 2 Data'!P71,'Partner 3 Data'!P71,'Partner 1 Data'!P71,'Partner 4 Data'!P71)</f>
        <v>0</v>
      </c>
      <c r="Q71" s="140">
        <f>SUM('Partner 2 Data'!Q71,'Partner 3 Data'!Q71,'Partner 1 Data'!Q71,'Partner 4 Data'!Q71)</f>
        <v>0</v>
      </c>
      <c r="R71" s="441">
        <f>SUM('Partner 2 Data'!R71,'Partner 3 Data'!R71,'Partner 1 Data'!R71,'Partner 4 Data'!R71)</f>
        <v>0</v>
      </c>
    </row>
    <row r="72" spans="1:18" x14ac:dyDescent="0.25">
      <c r="A72" s="590" t="s">
        <v>11</v>
      </c>
      <c r="B72" s="591"/>
      <c r="C72" s="285">
        <f t="shared" si="3"/>
        <v>0</v>
      </c>
      <c r="D72" s="140">
        <f>SUM('Partner 2 Data'!D72,'Partner 3 Data'!D72,'Partner 1 Data'!D72,'Partner 4 Data'!D72)</f>
        <v>0</v>
      </c>
      <c r="E72" s="140">
        <f>SUM('Partner 2 Data'!E72,'Partner 3 Data'!E72,'Partner 1 Data'!E72,'Partner 4 Data'!E72)</f>
        <v>0</v>
      </c>
      <c r="F72" s="140">
        <f>SUM('Partner 2 Data'!F72,'Partner 3 Data'!F72,'Partner 1 Data'!F72,'Partner 4 Data'!F72)</f>
        <v>0</v>
      </c>
      <c r="G72" s="140">
        <f>SUM('Partner 2 Data'!G72,'Partner 3 Data'!G72,'Partner 1 Data'!G72,'Partner 4 Data'!G72)</f>
        <v>0</v>
      </c>
      <c r="H72" s="140">
        <f>SUM('Partner 2 Data'!H72,'Partner 3 Data'!H72,'Partner 1 Data'!H72,'Partner 4 Data'!H72)</f>
        <v>0</v>
      </c>
      <c r="I72" s="140">
        <f>SUM('Partner 2 Data'!I72,'Partner 3 Data'!I72,'Partner 1 Data'!I72,'Partner 4 Data'!I72)</f>
        <v>0</v>
      </c>
      <c r="J72" s="140">
        <f>SUM('Partner 2 Data'!J72,'Partner 3 Data'!J72,'Partner 1 Data'!J72,'Partner 4 Data'!J72)</f>
        <v>1325</v>
      </c>
      <c r="K72" s="140">
        <f>SUM('Partner 2 Data'!K72,'Partner 3 Data'!K72,'Partner 1 Data'!K72,'Partner 4 Data'!K72)</f>
        <v>0</v>
      </c>
      <c r="L72" s="140">
        <f>SUM('Partner 2 Data'!L72,'Partner 3 Data'!L72,'Partner 1 Data'!L72,'Partner 4 Data'!L72)</f>
        <v>0</v>
      </c>
      <c r="M72" s="140">
        <f>SUM('Partner 2 Data'!M72,'Partner 3 Data'!M72,'Partner 1 Data'!M72,'Partner 4 Data'!M72)</f>
        <v>0</v>
      </c>
      <c r="N72" s="140">
        <f>SUM('Partner 2 Data'!N72,'Partner 3 Data'!N72,'Partner 1 Data'!N72,'Partner 4 Data'!N72)</f>
        <v>0</v>
      </c>
      <c r="O72" s="140">
        <f>SUM('Partner 2 Data'!O72,'Partner 3 Data'!O72,'Partner 1 Data'!O72,'Partner 4 Data'!O72)</f>
        <v>0</v>
      </c>
      <c r="P72" s="140">
        <f>SUM('Partner 2 Data'!P72,'Partner 3 Data'!P72,'Partner 1 Data'!P72,'Partner 4 Data'!P72)</f>
        <v>0</v>
      </c>
      <c r="Q72" s="140">
        <f>SUM('Partner 2 Data'!Q72,'Partner 3 Data'!Q72,'Partner 1 Data'!Q72,'Partner 4 Data'!Q72)</f>
        <v>0</v>
      </c>
      <c r="R72" s="441">
        <f>SUM('Partner 2 Data'!R72,'Partner 3 Data'!R72,'Partner 1 Data'!R72,'Partner 4 Data'!R72)</f>
        <v>0</v>
      </c>
    </row>
    <row r="73" spans="1:18" x14ac:dyDescent="0.25">
      <c r="A73" s="590" t="s">
        <v>18</v>
      </c>
      <c r="B73" s="591"/>
      <c r="C73" s="285">
        <f t="shared" si="3"/>
        <v>35.01</v>
      </c>
      <c r="D73" s="140">
        <f>SUM('Partner 2 Data'!D73,'Partner 3 Data'!D73,'Partner 1 Data'!D73,'Partner 4 Data'!D73)</f>
        <v>0</v>
      </c>
      <c r="E73" s="140">
        <f>SUM('Partner 2 Data'!E73,'Partner 3 Data'!E73,'Partner 1 Data'!E73,'Partner 4 Data'!E73)</f>
        <v>0</v>
      </c>
      <c r="F73" s="140">
        <f>SUM('Partner 2 Data'!F73,'Partner 3 Data'!F73,'Partner 1 Data'!F73,'Partner 4 Data'!F73)</f>
        <v>0</v>
      </c>
      <c r="G73" s="140">
        <f>SUM('Partner 2 Data'!G73,'Partner 3 Data'!G73,'Partner 1 Data'!G73,'Partner 4 Data'!G73)</f>
        <v>35.01</v>
      </c>
      <c r="H73" s="140">
        <f>SUM('Partner 2 Data'!H73,'Partner 3 Data'!H73,'Partner 1 Data'!H73,'Partner 4 Data'!H73)</f>
        <v>34.999999999999986</v>
      </c>
      <c r="I73" s="140">
        <f>SUM('Partner 2 Data'!I73,'Partner 3 Data'!I73,'Partner 1 Data'!I73,'Partner 4 Data'!I73)</f>
        <v>35</v>
      </c>
      <c r="J73" s="140">
        <f>SUM('Partner 2 Data'!J73,'Partner 3 Data'!J73,'Partner 1 Data'!J73,'Partner 4 Data'!J73)</f>
        <v>35.01</v>
      </c>
      <c r="K73" s="140">
        <f>SUM('Partner 2 Data'!K73,'Partner 3 Data'!K73,'Partner 1 Data'!K73,'Partner 4 Data'!K73)</f>
        <v>0</v>
      </c>
      <c r="L73" s="140">
        <f>SUM('Partner 2 Data'!L73,'Partner 3 Data'!L73,'Partner 1 Data'!L73,'Partner 4 Data'!L73)</f>
        <v>35</v>
      </c>
      <c r="M73" s="140">
        <f>SUM('Partner 2 Data'!M73,'Partner 3 Data'!M73,'Partner 1 Data'!M73,'Partner 4 Data'!M73)</f>
        <v>0</v>
      </c>
      <c r="N73" s="140">
        <f>SUM('Partner 2 Data'!N73,'Partner 3 Data'!N73,'Partner 1 Data'!N73,'Partner 4 Data'!N73)</f>
        <v>0</v>
      </c>
      <c r="O73" s="140">
        <f>SUM('Partner 2 Data'!O73,'Partner 3 Data'!O73,'Partner 1 Data'!O73,'Partner 4 Data'!O73)</f>
        <v>0</v>
      </c>
      <c r="P73" s="140">
        <f>SUM('Partner 2 Data'!P73,'Partner 3 Data'!P73,'Partner 1 Data'!P73,'Partner 4 Data'!P73)</f>
        <v>0</v>
      </c>
      <c r="Q73" s="140">
        <f>SUM('Partner 2 Data'!Q73,'Partner 3 Data'!Q73,'Partner 1 Data'!Q73,'Partner 4 Data'!Q73)</f>
        <v>0</v>
      </c>
      <c r="R73" s="441">
        <f>SUM('Partner 2 Data'!R73,'Partner 3 Data'!R73,'Partner 1 Data'!R73,'Partner 4 Data'!R73)</f>
        <v>0</v>
      </c>
    </row>
    <row r="74" spans="1:18" x14ac:dyDescent="0.25">
      <c r="A74" s="590" t="s">
        <v>19</v>
      </c>
      <c r="B74" s="591"/>
      <c r="C74" s="285">
        <f t="shared" si="3"/>
        <v>0</v>
      </c>
      <c r="D74" s="140">
        <f>SUM('Partner 2 Data'!D74,'Partner 3 Data'!D74,'Partner 1 Data'!D74,'Partner 4 Data'!D74)</f>
        <v>0</v>
      </c>
      <c r="E74" s="140">
        <f>SUM('Partner 2 Data'!E74,'Partner 3 Data'!E74,'Partner 1 Data'!E74,'Partner 4 Data'!E74)</f>
        <v>0</v>
      </c>
      <c r="F74" s="140">
        <f>SUM('Partner 2 Data'!F74,'Partner 3 Data'!F74,'Partner 1 Data'!F74,'Partner 4 Data'!F74)</f>
        <v>0</v>
      </c>
      <c r="G74" s="140">
        <f>SUM('Partner 2 Data'!G74,'Partner 3 Data'!G74,'Partner 1 Data'!G74,'Partner 4 Data'!G74)</f>
        <v>0</v>
      </c>
      <c r="H74" s="140">
        <f>SUM('Partner 2 Data'!H74,'Partner 3 Data'!H74,'Partner 1 Data'!H74,'Partner 4 Data'!H74)</f>
        <v>0</v>
      </c>
      <c r="I74" s="140">
        <f>SUM('Partner 2 Data'!I74,'Partner 3 Data'!I74,'Partner 1 Data'!I74,'Partner 4 Data'!I74)</f>
        <v>0</v>
      </c>
      <c r="J74" s="140">
        <f>SUM('Partner 2 Data'!J74,'Partner 3 Data'!J74,'Partner 1 Data'!J74,'Partner 4 Data'!J74)</f>
        <v>0</v>
      </c>
      <c r="K74" s="140">
        <f>SUM('Partner 2 Data'!K74,'Partner 3 Data'!K74,'Partner 1 Data'!K74,'Partner 4 Data'!K74)</f>
        <v>0</v>
      </c>
      <c r="L74" s="140">
        <f>SUM('Partner 2 Data'!L74,'Partner 3 Data'!L74,'Partner 1 Data'!L74,'Partner 4 Data'!L74)</f>
        <v>0</v>
      </c>
      <c r="M74" s="140">
        <f>SUM('Partner 2 Data'!M74,'Partner 3 Data'!M74,'Partner 1 Data'!M74,'Partner 4 Data'!M74)</f>
        <v>0</v>
      </c>
      <c r="N74" s="140">
        <f>SUM('Partner 2 Data'!N74,'Partner 3 Data'!N74,'Partner 1 Data'!N74,'Partner 4 Data'!N74)</f>
        <v>0</v>
      </c>
      <c r="O74" s="140">
        <f>SUM('Partner 2 Data'!O74,'Partner 3 Data'!O74,'Partner 1 Data'!O74,'Partner 4 Data'!O74)</f>
        <v>0</v>
      </c>
      <c r="P74" s="140">
        <f>SUM('Partner 2 Data'!P74,'Partner 3 Data'!P74,'Partner 1 Data'!P74,'Partner 4 Data'!P74)</f>
        <v>0</v>
      </c>
      <c r="Q74" s="140">
        <f>SUM('Partner 2 Data'!Q74,'Partner 3 Data'!Q74,'Partner 1 Data'!Q74,'Partner 4 Data'!Q74)</f>
        <v>0</v>
      </c>
      <c r="R74" s="441">
        <f>SUM('Partner 2 Data'!R74,'Partner 3 Data'!R74,'Partner 1 Data'!R74,'Partner 4 Data'!R74)</f>
        <v>0</v>
      </c>
    </row>
    <row r="75" spans="1:18" x14ac:dyDescent="0.25">
      <c r="A75" s="590" t="s">
        <v>20</v>
      </c>
      <c r="B75" s="591"/>
      <c r="C75" s="285">
        <f t="shared" si="3"/>
        <v>787.5</v>
      </c>
      <c r="D75" s="140">
        <f>SUM('Partner 2 Data'!D75,'Partner 3 Data'!D75,'Partner 1 Data'!D75,'Partner 4 Data'!D75)</f>
        <v>0</v>
      </c>
      <c r="E75" s="140">
        <f>SUM('Partner 2 Data'!E75,'Partner 3 Data'!E75,'Partner 1 Data'!E75,'Partner 4 Data'!E75)</f>
        <v>0</v>
      </c>
      <c r="F75" s="140">
        <f>SUM('Partner 2 Data'!F75,'Partner 3 Data'!F75,'Partner 1 Data'!F75,'Partner 4 Data'!F75)</f>
        <v>0</v>
      </c>
      <c r="G75" s="140">
        <f>SUM('Partner 2 Data'!G75,'Partner 3 Data'!G75,'Partner 1 Data'!G75,'Partner 4 Data'!G75)</f>
        <v>787.5</v>
      </c>
      <c r="H75" s="140">
        <f>SUM('Partner 2 Data'!H75,'Partner 3 Data'!H75,'Partner 1 Data'!H75,'Partner 4 Data'!H75)</f>
        <v>787.5</v>
      </c>
      <c r="I75" s="140">
        <f>SUM('Partner 2 Data'!I75,'Partner 3 Data'!I75,'Partner 1 Data'!I75,'Partner 4 Data'!I75)</f>
        <v>788</v>
      </c>
      <c r="J75" s="140">
        <f>SUM('Partner 2 Data'!J75,'Partner 3 Data'!J75,'Partner 1 Data'!J75,'Partner 4 Data'!J75)</f>
        <v>1766.5</v>
      </c>
      <c r="K75" s="140">
        <f>SUM('Partner 2 Data'!K75,'Partner 3 Data'!K75,'Partner 1 Data'!K75,'Partner 4 Data'!K75)</f>
        <v>0</v>
      </c>
      <c r="L75" s="140">
        <f>SUM('Partner 2 Data'!L75,'Partner 3 Data'!L75,'Partner 1 Data'!L75,'Partner 4 Data'!L75)</f>
        <v>788</v>
      </c>
      <c r="M75" s="140">
        <f>SUM('Partner 2 Data'!M75,'Partner 3 Data'!M75,'Partner 1 Data'!M75,'Partner 4 Data'!M75)</f>
        <v>0</v>
      </c>
      <c r="N75" s="140">
        <f>SUM('Partner 2 Data'!N75,'Partner 3 Data'!N75,'Partner 1 Data'!N75,'Partner 4 Data'!N75)</f>
        <v>0</v>
      </c>
      <c r="O75" s="140">
        <f>SUM('Partner 2 Data'!O75,'Partner 3 Data'!O75,'Partner 1 Data'!O75,'Partner 4 Data'!O75)</f>
        <v>0</v>
      </c>
      <c r="P75" s="140">
        <f>SUM('Partner 2 Data'!P75,'Partner 3 Data'!P75,'Partner 1 Data'!P75,'Partner 4 Data'!P75)</f>
        <v>0</v>
      </c>
      <c r="Q75" s="140">
        <f>SUM('Partner 2 Data'!Q75,'Partner 3 Data'!Q75,'Partner 1 Data'!Q75,'Partner 4 Data'!Q75)</f>
        <v>0</v>
      </c>
      <c r="R75" s="441">
        <f>SUM('Partner 2 Data'!R75,'Partner 3 Data'!R75,'Partner 1 Data'!R75,'Partner 4 Data'!R75)</f>
        <v>0</v>
      </c>
    </row>
    <row r="76" spans="1:18" x14ac:dyDescent="0.25">
      <c r="A76" s="590" t="s">
        <v>21</v>
      </c>
      <c r="B76" s="591"/>
      <c r="C76" s="285">
        <f t="shared" si="3"/>
        <v>2164.16</v>
      </c>
      <c r="D76" s="140">
        <f>SUM('Partner 2 Data'!D76,'Partner 3 Data'!D76,'Partner 1 Data'!D76,'Partner 4 Data'!D76)</f>
        <v>420.00000000000006</v>
      </c>
      <c r="E76" s="140">
        <f>SUM('Partner 2 Data'!E76,'Partner 3 Data'!E76,'Partner 1 Data'!E76,'Partner 4 Data'!E76)</f>
        <v>0</v>
      </c>
      <c r="F76" s="140">
        <f>SUM('Partner 2 Data'!F76,'Partner 3 Data'!F76,'Partner 1 Data'!F76,'Partner 4 Data'!F76)</f>
        <v>1306.67</v>
      </c>
      <c r="G76" s="140">
        <f>SUM('Partner 2 Data'!G76,'Partner 3 Data'!G76,'Partner 1 Data'!G76,'Partner 4 Data'!G76)</f>
        <v>437.49</v>
      </c>
      <c r="H76" s="140">
        <f>SUM('Partner 2 Data'!H76,'Partner 3 Data'!H76,'Partner 1 Data'!H76,'Partner 4 Data'!H76)</f>
        <v>437.5</v>
      </c>
      <c r="I76" s="140">
        <f>SUM('Partner 2 Data'!I76,'Partner 3 Data'!I76,'Partner 1 Data'!I76,'Partner 4 Data'!I76)</f>
        <v>437</v>
      </c>
      <c r="J76" s="140">
        <f>SUM('Partner 2 Data'!J76,'Partner 3 Data'!J76,'Partner 1 Data'!J76,'Partner 4 Data'!J76)</f>
        <v>437.49</v>
      </c>
      <c r="K76" s="140">
        <f>SUM('Partner 2 Data'!K76,'Partner 3 Data'!K76,'Partner 1 Data'!K76,'Partner 4 Data'!K76)</f>
        <v>0</v>
      </c>
      <c r="L76" s="140">
        <f>SUM('Partner 2 Data'!L76,'Partner 3 Data'!L76,'Partner 1 Data'!L76,'Partner 4 Data'!L76)</f>
        <v>438</v>
      </c>
      <c r="M76" s="140">
        <f>SUM('Partner 2 Data'!M76,'Partner 3 Data'!M76,'Partner 1 Data'!M76,'Partner 4 Data'!M76)</f>
        <v>0</v>
      </c>
      <c r="N76" s="140">
        <f>SUM('Partner 2 Data'!N76,'Partner 3 Data'!N76,'Partner 1 Data'!N76,'Partner 4 Data'!N76)</f>
        <v>0</v>
      </c>
      <c r="O76" s="140">
        <f>SUM('Partner 2 Data'!O76,'Partner 3 Data'!O76,'Partner 1 Data'!O76,'Partner 4 Data'!O76)</f>
        <v>0</v>
      </c>
      <c r="P76" s="140">
        <f>SUM('Partner 2 Data'!P76,'Partner 3 Data'!P76,'Partner 1 Data'!P76,'Partner 4 Data'!P76)</f>
        <v>0</v>
      </c>
      <c r="Q76" s="140">
        <f>SUM('Partner 2 Data'!Q76,'Partner 3 Data'!Q76,'Partner 1 Data'!Q76,'Partner 4 Data'!Q76)</f>
        <v>0</v>
      </c>
      <c r="R76" s="441">
        <f>SUM('Partner 2 Data'!R76,'Partner 3 Data'!R76,'Partner 1 Data'!R76,'Partner 4 Data'!R76)</f>
        <v>0</v>
      </c>
    </row>
    <row r="77" spans="1:18" x14ac:dyDescent="0.25">
      <c r="A77" s="590" t="s">
        <v>12</v>
      </c>
      <c r="B77" s="591"/>
      <c r="C77" s="285">
        <f t="shared" si="3"/>
        <v>2981</v>
      </c>
      <c r="D77" s="140">
        <f>SUM('Partner 2 Data'!D77,'Partner 3 Data'!D77,'Partner 1 Data'!D77,'Partner 4 Data'!D77)</f>
        <v>0</v>
      </c>
      <c r="E77" s="140">
        <f>SUM('Partner 2 Data'!E77,'Partner 3 Data'!E77,'Partner 1 Data'!E77,'Partner 4 Data'!E77)</f>
        <v>0</v>
      </c>
      <c r="F77" s="140">
        <f>SUM('Partner 2 Data'!F77,'Partner 3 Data'!F77,'Partner 1 Data'!F77,'Partner 4 Data'!F77)</f>
        <v>0</v>
      </c>
      <c r="G77" s="140">
        <f>SUM('Partner 2 Data'!G77,'Partner 3 Data'!G77,'Partner 1 Data'!G77,'Partner 4 Data'!G77)</f>
        <v>2981</v>
      </c>
      <c r="H77" s="140">
        <f>SUM('Partner 2 Data'!H77,'Partner 3 Data'!H77,'Partner 1 Data'!H77,'Partner 4 Data'!H77)</f>
        <v>0</v>
      </c>
      <c r="I77" s="140">
        <f>SUM('Partner 2 Data'!I77,'Partner 3 Data'!I77,'Partner 1 Data'!I77,'Partner 4 Data'!I77)</f>
        <v>0</v>
      </c>
      <c r="J77" s="140">
        <f>SUM('Partner 2 Data'!J77,'Partner 3 Data'!J77,'Partner 1 Data'!J77,'Partner 4 Data'!J77)</f>
        <v>31123</v>
      </c>
      <c r="K77" s="140">
        <f>SUM('Partner 2 Data'!K77,'Partner 3 Data'!K77,'Partner 1 Data'!K77,'Partner 4 Data'!K77)</f>
        <v>1307</v>
      </c>
      <c r="L77" s="140">
        <f>SUM('Partner 2 Data'!L77,'Partner 3 Data'!L77,'Partner 1 Data'!L77,'Partner 4 Data'!L77)</f>
        <v>33965.339999999997</v>
      </c>
      <c r="M77" s="140">
        <f>SUM('Partner 2 Data'!M77,'Partner 3 Data'!M77,'Partner 1 Data'!M77,'Partner 4 Data'!M77)</f>
        <v>0</v>
      </c>
      <c r="N77" s="140">
        <f>SUM('Partner 2 Data'!N77,'Partner 3 Data'!N77,'Partner 1 Data'!N77,'Partner 4 Data'!N77)</f>
        <v>0</v>
      </c>
      <c r="O77" s="140">
        <f>SUM('Partner 2 Data'!O77,'Partner 3 Data'!O77,'Partner 1 Data'!O77,'Partner 4 Data'!O77)</f>
        <v>0</v>
      </c>
      <c r="P77" s="140">
        <f>SUM('Partner 2 Data'!P77,'Partner 3 Data'!P77,'Partner 1 Data'!P77,'Partner 4 Data'!P77)</f>
        <v>0</v>
      </c>
      <c r="Q77" s="140">
        <f>SUM('Partner 2 Data'!Q77,'Partner 3 Data'!Q77,'Partner 1 Data'!Q77,'Partner 4 Data'!Q77)</f>
        <v>0</v>
      </c>
      <c r="R77" s="441">
        <f>SUM('Partner 2 Data'!R77,'Partner 3 Data'!R77,'Partner 1 Data'!R77,'Partner 4 Data'!R77)</f>
        <v>0</v>
      </c>
    </row>
    <row r="78" spans="1:18" x14ac:dyDescent="0.25">
      <c r="A78" s="590" t="s">
        <v>13</v>
      </c>
      <c r="B78" s="591"/>
      <c r="C78" s="285">
        <f t="shared" si="3"/>
        <v>10199</v>
      </c>
      <c r="D78" s="140">
        <f>SUM('Partner 2 Data'!D78,'Partner 3 Data'!D78,'Partner 1 Data'!D78,'Partner 4 Data'!D78)</f>
        <v>0</v>
      </c>
      <c r="E78" s="140">
        <f>SUM('Partner 2 Data'!E78,'Partner 3 Data'!E78,'Partner 1 Data'!E78,'Partner 4 Data'!E78)</f>
        <v>0</v>
      </c>
      <c r="F78" s="140">
        <f>SUM('Partner 2 Data'!F78,'Partner 3 Data'!F78,'Partner 1 Data'!F78,'Partner 4 Data'!F78)</f>
        <v>0</v>
      </c>
      <c r="G78" s="140">
        <f>SUM('Partner 2 Data'!G78,'Partner 3 Data'!G78,'Partner 1 Data'!G78,'Partner 4 Data'!G78)</f>
        <v>10199</v>
      </c>
      <c r="H78" s="140">
        <f>SUM('Partner 2 Data'!H78,'Partner 3 Data'!H78,'Partner 1 Data'!H78,'Partner 4 Data'!H78)</f>
        <v>-9864</v>
      </c>
      <c r="I78" s="140">
        <f>SUM('Partner 2 Data'!I78,'Partner 3 Data'!I78,'Partner 1 Data'!I78,'Partner 4 Data'!I78)</f>
        <v>0</v>
      </c>
      <c r="J78" s="140">
        <f>SUM('Partner 2 Data'!J78,'Partner 3 Data'!J78,'Partner 1 Data'!J78,'Partner 4 Data'!J78)</f>
        <v>34</v>
      </c>
      <c r="K78" s="140">
        <f>SUM('Partner 2 Data'!K78,'Partner 3 Data'!K78,'Partner 1 Data'!K78,'Partner 4 Data'!K78)</f>
        <v>0</v>
      </c>
      <c r="L78" s="140">
        <f>SUM('Partner 2 Data'!L78,'Partner 3 Data'!L78,'Partner 1 Data'!L78,'Partner 4 Data'!L78)</f>
        <v>0</v>
      </c>
      <c r="M78" s="140">
        <f>SUM('Partner 2 Data'!M78,'Partner 3 Data'!M78,'Partner 1 Data'!M78,'Partner 4 Data'!M78)</f>
        <v>0</v>
      </c>
      <c r="N78" s="140">
        <f>SUM('Partner 2 Data'!N78,'Partner 3 Data'!N78,'Partner 1 Data'!N78,'Partner 4 Data'!N78)</f>
        <v>0</v>
      </c>
      <c r="O78" s="140">
        <f>SUM('Partner 2 Data'!O78,'Partner 3 Data'!O78,'Partner 1 Data'!O78,'Partner 4 Data'!O78)</f>
        <v>0</v>
      </c>
      <c r="P78" s="140">
        <f>SUM('Partner 2 Data'!P78,'Partner 3 Data'!P78,'Partner 1 Data'!P78,'Partner 4 Data'!P78)</f>
        <v>0</v>
      </c>
      <c r="Q78" s="140">
        <f>SUM('Partner 2 Data'!Q78,'Partner 3 Data'!Q78,'Partner 1 Data'!Q78,'Partner 4 Data'!Q78)</f>
        <v>0</v>
      </c>
      <c r="R78" s="441">
        <f>SUM('Partner 2 Data'!R78,'Partner 3 Data'!R78,'Partner 1 Data'!R78,'Partner 4 Data'!R78)</f>
        <v>0</v>
      </c>
    </row>
    <row r="79" spans="1:18" x14ac:dyDescent="0.25">
      <c r="A79" s="590" t="s">
        <v>14</v>
      </c>
      <c r="B79" s="591"/>
      <c r="C79" s="285">
        <f t="shared" si="3"/>
        <v>1084.53</v>
      </c>
      <c r="D79" s="140">
        <f>SUM('Partner 2 Data'!D79,'Partner 3 Data'!D79,'Partner 1 Data'!D79,'Partner 4 Data'!D79)</f>
        <v>0</v>
      </c>
      <c r="E79" s="140">
        <f>SUM('Partner 2 Data'!E79,'Partner 3 Data'!E79,'Partner 1 Data'!E79,'Partner 4 Data'!E79)</f>
        <v>401.51</v>
      </c>
      <c r="F79" s="140">
        <f>SUM('Partner 2 Data'!F79,'Partner 3 Data'!F79,'Partner 1 Data'!F79,'Partner 4 Data'!F79)</f>
        <v>378.43000000000006</v>
      </c>
      <c r="G79" s="140">
        <f>SUM('Partner 2 Data'!G79,'Partner 3 Data'!G79,'Partner 1 Data'!G79,'Partner 4 Data'!G79)</f>
        <v>304.58999999999997</v>
      </c>
      <c r="H79" s="140">
        <f>SUM('Partner 2 Data'!H79,'Partner 3 Data'!H79,'Partner 1 Data'!H79,'Partner 4 Data'!H79)</f>
        <v>304.58999999999992</v>
      </c>
      <c r="I79" s="140">
        <f>SUM('Partner 2 Data'!I79,'Partner 3 Data'!I79,'Partner 1 Data'!I79,'Partner 4 Data'!I79)</f>
        <v>355</v>
      </c>
      <c r="J79" s="140">
        <f>SUM('Partner 2 Data'!J79,'Partner 3 Data'!J79,'Partner 1 Data'!J79,'Partner 4 Data'!J79)</f>
        <v>355.36</v>
      </c>
      <c r="K79" s="140">
        <f>SUM('Partner 2 Data'!K79,'Partner 3 Data'!K79,'Partner 1 Data'!K79,'Partner 4 Data'!K79)</f>
        <v>0</v>
      </c>
      <c r="L79" s="140">
        <f>SUM('Partner 2 Data'!L79,'Partner 3 Data'!L79,'Partner 1 Data'!L79,'Partner 4 Data'!L79)</f>
        <v>355</v>
      </c>
      <c r="M79" s="140">
        <f>SUM('Partner 2 Data'!M79,'Partner 3 Data'!M79,'Partner 1 Data'!M79,'Partner 4 Data'!M79)</f>
        <v>0</v>
      </c>
      <c r="N79" s="140">
        <f>SUM('Partner 2 Data'!N79,'Partner 3 Data'!N79,'Partner 1 Data'!N79,'Partner 4 Data'!N79)</f>
        <v>0</v>
      </c>
      <c r="O79" s="140">
        <f>SUM('Partner 2 Data'!O79,'Partner 3 Data'!O79,'Partner 1 Data'!O79,'Partner 4 Data'!O79)</f>
        <v>0</v>
      </c>
      <c r="P79" s="140">
        <f>SUM('Partner 2 Data'!P79,'Partner 3 Data'!P79,'Partner 1 Data'!P79,'Partner 4 Data'!P79)</f>
        <v>0</v>
      </c>
      <c r="Q79" s="140">
        <f>SUM('Partner 2 Data'!Q79,'Partner 3 Data'!Q79,'Partner 1 Data'!Q79,'Partner 4 Data'!Q79)</f>
        <v>0</v>
      </c>
      <c r="R79" s="441">
        <f>SUM('Partner 2 Data'!R79,'Partner 3 Data'!R79,'Partner 1 Data'!R79,'Partner 4 Data'!R79)</f>
        <v>0</v>
      </c>
    </row>
    <row r="80" spans="1:18" x14ac:dyDescent="0.25">
      <c r="A80" s="590" t="s">
        <v>22</v>
      </c>
      <c r="B80" s="591"/>
      <c r="C80" s="285">
        <f t="shared" si="3"/>
        <v>1155.29</v>
      </c>
      <c r="D80" s="140">
        <f>SUM('Partner 2 Data'!D80,'Partner 3 Data'!D80,'Partner 1 Data'!D80,'Partner 4 Data'!D80)</f>
        <v>150.27000000000001</v>
      </c>
      <c r="E80" s="140">
        <f>SUM('Partner 2 Data'!E80,'Partner 3 Data'!E80,'Partner 1 Data'!E80,'Partner 4 Data'!E80)</f>
        <v>0</v>
      </c>
      <c r="F80" s="140">
        <f>SUM('Partner 2 Data'!F80,'Partner 3 Data'!F80,'Partner 1 Data'!F80,'Partner 4 Data'!F80)</f>
        <v>721.49</v>
      </c>
      <c r="G80" s="140">
        <f>SUM('Partner 2 Data'!G80,'Partner 3 Data'!G80,'Partner 1 Data'!G80,'Partner 4 Data'!G80)</f>
        <v>283.52999999999997</v>
      </c>
      <c r="H80" s="140">
        <f>SUM('Partner 2 Data'!H80,'Partner 3 Data'!H80,'Partner 1 Data'!H80,'Partner 4 Data'!H80)</f>
        <v>283.51</v>
      </c>
      <c r="I80" s="140">
        <f>SUM('Partner 2 Data'!I80,'Partner 3 Data'!I80,'Partner 1 Data'!I80,'Partner 4 Data'!I80)</f>
        <v>4071</v>
      </c>
      <c r="J80" s="140">
        <f>SUM('Partner 2 Data'!J80,'Partner 3 Data'!J80,'Partner 1 Data'!J80,'Partner 4 Data'!J80)</f>
        <v>7868.98</v>
      </c>
      <c r="K80" s="140">
        <f>SUM('Partner 2 Data'!K80,'Partner 3 Data'!K80,'Partner 1 Data'!K80,'Partner 4 Data'!K80)</f>
        <v>4876</v>
      </c>
      <c r="L80" s="140">
        <f>SUM('Partner 2 Data'!L80,'Partner 3 Data'!L80,'Partner 1 Data'!L80,'Partner 4 Data'!L80)</f>
        <v>1305</v>
      </c>
      <c r="M80" s="140">
        <f>SUM('Partner 2 Data'!M80,'Partner 3 Data'!M80,'Partner 1 Data'!M80,'Partner 4 Data'!M80)</f>
        <v>0</v>
      </c>
      <c r="N80" s="140">
        <f>SUM('Partner 2 Data'!N80,'Partner 3 Data'!N80,'Partner 1 Data'!N80,'Partner 4 Data'!N80)</f>
        <v>0</v>
      </c>
      <c r="O80" s="140">
        <f>SUM('Partner 2 Data'!O80,'Partner 3 Data'!O80,'Partner 1 Data'!O80,'Partner 4 Data'!O80)</f>
        <v>0</v>
      </c>
      <c r="P80" s="140">
        <f>SUM('Partner 2 Data'!P80,'Partner 3 Data'!P80,'Partner 1 Data'!P80,'Partner 4 Data'!P80)</f>
        <v>0</v>
      </c>
      <c r="Q80" s="140">
        <f>SUM('Partner 2 Data'!Q80,'Partner 3 Data'!Q80,'Partner 1 Data'!Q80,'Partner 4 Data'!Q80)</f>
        <v>0</v>
      </c>
      <c r="R80" s="441">
        <f>SUM('Partner 2 Data'!R80,'Partner 3 Data'!R80,'Partner 1 Data'!R80,'Partner 4 Data'!R80)</f>
        <v>0</v>
      </c>
    </row>
    <row r="81" spans="1:18" x14ac:dyDescent="0.25">
      <c r="A81" s="606" t="s">
        <v>87</v>
      </c>
      <c r="B81" s="607"/>
      <c r="C81" s="286">
        <f>SUM(C68:C80)</f>
        <v>52728.38</v>
      </c>
      <c r="D81" s="144">
        <f>SUM(D68:D80)</f>
        <v>570.2700000000001</v>
      </c>
      <c r="E81" s="144">
        <f t="shared" ref="E81:R81" si="4">SUM(E68:E80)</f>
        <v>12555.73</v>
      </c>
      <c r="F81" s="144">
        <f t="shared" si="4"/>
        <v>19113.890000000003</v>
      </c>
      <c r="G81" s="144">
        <f t="shared" si="4"/>
        <v>20488.489999999998</v>
      </c>
      <c r="H81" s="144">
        <f t="shared" si="4"/>
        <v>-246.53000000000111</v>
      </c>
      <c r="I81" s="144">
        <f t="shared" si="4"/>
        <v>8994</v>
      </c>
      <c r="J81" s="144">
        <f t="shared" si="4"/>
        <v>54788.61</v>
      </c>
      <c r="K81" s="144">
        <f t="shared" si="4"/>
        <v>6183</v>
      </c>
      <c r="L81" s="144">
        <f t="shared" si="4"/>
        <v>39195.339999999997</v>
      </c>
      <c r="M81" s="144">
        <f t="shared" si="4"/>
        <v>0</v>
      </c>
      <c r="N81" s="144">
        <f t="shared" si="4"/>
        <v>0</v>
      </c>
      <c r="O81" s="144">
        <f t="shared" si="4"/>
        <v>0</v>
      </c>
      <c r="P81" s="144">
        <f t="shared" si="4"/>
        <v>0</v>
      </c>
      <c r="Q81" s="144">
        <f t="shared" si="4"/>
        <v>0</v>
      </c>
      <c r="R81" s="442">
        <f t="shared" si="4"/>
        <v>0</v>
      </c>
    </row>
    <row r="82" spans="1:18" x14ac:dyDescent="0.25">
      <c r="A82" s="608" t="s">
        <v>35</v>
      </c>
      <c r="B82" s="609"/>
      <c r="C82" s="128">
        <f t="shared" ref="C82" si="5">SUM(D82:R82)</f>
        <v>1017086.66</v>
      </c>
      <c r="D82" s="145">
        <f>SUM(D66,D81)</f>
        <v>2861.11</v>
      </c>
      <c r="E82" s="145">
        <f t="shared" ref="E82:R82" si="6">SUM(E66,E81)</f>
        <v>40795.19</v>
      </c>
      <c r="F82" s="145">
        <f t="shared" si="6"/>
        <v>58182.3</v>
      </c>
      <c r="G82" s="145">
        <f t="shared" si="6"/>
        <v>89996.4</v>
      </c>
      <c r="H82" s="145">
        <f t="shared" si="6"/>
        <v>84924.12</v>
      </c>
      <c r="I82" s="145">
        <f t="shared" si="6"/>
        <v>114573</v>
      </c>
      <c r="J82" s="145">
        <f t="shared" si="6"/>
        <v>187397.89</v>
      </c>
      <c r="K82" s="145">
        <f t="shared" si="6"/>
        <v>229079.50000000003</v>
      </c>
      <c r="L82" s="145">
        <f t="shared" si="6"/>
        <v>209277.15</v>
      </c>
      <c r="M82" s="145">
        <f t="shared" si="6"/>
        <v>0</v>
      </c>
      <c r="N82" s="145">
        <f t="shared" si="6"/>
        <v>0</v>
      </c>
      <c r="O82" s="145">
        <f t="shared" si="6"/>
        <v>0</v>
      </c>
      <c r="P82" s="145">
        <f t="shared" si="6"/>
        <v>0</v>
      </c>
      <c r="Q82" s="145">
        <f t="shared" si="6"/>
        <v>0</v>
      </c>
      <c r="R82" s="443">
        <f t="shared" si="6"/>
        <v>0</v>
      </c>
    </row>
  </sheetData>
  <mergeCells count="62">
    <mergeCell ref="A80:B80"/>
    <mergeCell ref="A81:B81"/>
    <mergeCell ref="A82:B82"/>
    <mergeCell ref="A74:B74"/>
    <mergeCell ref="A75:B75"/>
    <mergeCell ref="A76:B76"/>
    <mergeCell ref="A77:B77"/>
    <mergeCell ref="A78:B78"/>
    <mergeCell ref="A79:B79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61:B61"/>
    <mergeCell ref="A50:B50"/>
    <mergeCell ref="A51:R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49:B49"/>
    <mergeCell ref="A19:B19"/>
    <mergeCell ref="A20:B20"/>
    <mergeCell ref="A21:B21"/>
    <mergeCell ref="A22:B22"/>
    <mergeCell ref="A23:B23"/>
    <mergeCell ref="A37:B37"/>
    <mergeCell ref="A44:R44"/>
    <mergeCell ref="A45:B45"/>
    <mergeCell ref="A46:B46"/>
    <mergeCell ref="A47:B47"/>
    <mergeCell ref="A48:B48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:R1"/>
    <mergeCell ref="A2:R2"/>
    <mergeCell ref="A4:B4"/>
    <mergeCell ref="A5:R5"/>
    <mergeCell ref="A6:B6"/>
  </mergeCells>
  <pageMargins left="0.7" right="0.7" top="0.75" bottom="0.75" header="0.3" footer="0.3"/>
  <pageSetup orientation="portrait" horizontalDpi="204" verticalDpi="1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1A86-971F-4053-8997-ACDE2C6ECF27}">
  <sheetPr>
    <tabColor rgb="FF0070C0"/>
  </sheetPr>
  <dimension ref="A1:R100"/>
  <sheetViews>
    <sheetView workbookViewId="0">
      <pane ySplit="4" topLeftCell="A54" activePane="bottomLeft" state="frozen"/>
      <selection activeCell="V3" sqref="V3"/>
      <selection pane="bottomLeft" activeCell="D7" sqref="D7"/>
    </sheetView>
  </sheetViews>
  <sheetFormatPr defaultRowHeight="15" x14ac:dyDescent="0.25"/>
  <cols>
    <col min="3" max="3" width="10.140625" bestFit="1" customWidth="1"/>
    <col min="4" max="7" width="9.42578125" bestFit="1" customWidth="1"/>
    <col min="8" max="8" width="10.28515625" bestFit="1" customWidth="1"/>
    <col min="9" max="9" width="10" bestFit="1" customWidth="1"/>
    <col min="10" max="12" width="9.85546875" bestFit="1" customWidth="1"/>
    <col min="13" max="16" width="9.140625" customWidth="1"/>
    <col min="17" max="18" width="9.85546875" bestFit="1" customWidth="1"/>
  </cols>
  <sheetData>
    <row r="1" spans="1:18" ht="33.75" x14ac:dyDescent="0.5">
      <c r="A1" s="612" t="s">
        <v>269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</row>
    <row r="2" spans="1:18" ht="15.75" thickBot="1" x14ac:dyDescent="0.3">
      <c r="A2" s="613" t="s">
        <v>80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</row>
    <row r="3" spans="1:18" ht="21.75" thickBot="1" x14ac:dyDescent="0.4">
      <c r="A3" s="58"/>
      <c r="B3" s="56"/>
      <c r="C3" s="59" t="s">
        <v>81</v>
      </c>
      <c r="D3" s="72">
        <v>2021</v>
      </c>
      <c r="E3" s="57"/>
      <c r="F3" s="63"/>
      <c r="G3" s="73">
        <v>2022</v>
      </c>
      <c r="H3" s="66"/>
      <c r="I3" s="66"/>
      <c r="J3" s="67"/>
      <c r="K3" s="74">
        <v>2023</v>
      </c>
      <c r="L3" s="68"/>
      <c r="M3" s="68"/>
      <c r="N3" s="69"/>
      <c r="O3" s="75">
        <v>2024</v>
      </c>
      <c r="P3" s="70"/>
      <c r="Q3" s="70"/>
      <c r="R3" s="71"/>
    </row>
    <row r="4" spans="1:18" ht="15.75" thickBot="1" x14ac:dyDescent="0.3">
      <c r="A4" s="567" t="s">
        <v>15</v>
      </c>
      <c r="B4" s="568"/>
      <c r="C4" s="55" t="s">
        <v>83</v>
      </c>
      <c r="D4" s="64" t="s">
        <v>76</v>
      </c>
      <c r="E4" s="60" t="s">
        <v>77</v>
      </c>
      <c r="F4" s="65" t="s">
        <v>78</v>
      </c>
      <c r="G4" s="64" t="s">
        <v>76</v>
      </c>
      <c r="H4" s="60" t="s">
        <v>77</v>
      </c>
      <c r="I4" s="61" t="s">
        <v>78</v>
      </c>
      <c r="J4" s="62" t="s">
        <v>79</v>
      </c>
      <c r="K4" s="64" t="s">
        <v>76</v>
      </c>
      <c r="L4" s="60" t="s">
        <v>77</v>
      </c>
      <c r="M4" s="61" t="s">
        <v>78</v>
      </c>
      <c r="N4" s="62" t="s">
        <v>79</v>
      </c>
      <c r="O4" s="64" t="s">
        <v>76</v>
      </c>
      <c r="P4" s="60" t="s">
        <v>77</v>
      </c>
      <c r="Q4" s="61" t="s">
        <v>78</v>
      </c>
      <c r="R4" s="62" t="s">
        <v>79</v>
      </c>
    </row>
    <row r="5" spans="1:18" ht="15.75" x14ac:dyDescent="0.25">
      <c r="A5" s="614" t="s">
        <v>86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  <c r="R5" s="616"/>
    </row>
    <row r="6" spans="1:18" ht="15.75" x14ac:dyDescent="0.25">
      <c r="A6" s="617" t="s">
        <v>38</v>
      </c>
      <c r="B6" s="618"/>
      <c r="C6" s="253" t="s">
        <v>92</v>
      </c>
      <c r="D6" s="254"/>
      <c r="E6" s="254"/>
      <c r="F6" s="254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60"/>
    </row>
    <row r="7" spans="1:18" x14ac:dyDescent="0.25">
      <c r="A7" s="610" t="s">
        <v>39</v>
      </c>
      <c r="B7" s="611"/>
      <c r="C7" s="100">
        <f>SUM(D7:R7)</f>
        <v>1</v>
      </c>
      <c r="D7" s="251">
        <v>1</v>
      </c>
      <c r="E7" s="251"/>
      <c r="F7" s="251"/>
      <c r="G7" s="40"/>
      <c r="H7" s="184"/>
      <c r="I7" s="184"/>
      <c r="J7" s="184"/>
      <c r="K7" s="184"/>
      <c r="L7" s="252"/>
      <c r="M7" s="252"/>
      <c r="N7" s="252"/>
      <c r="O7" s="252"/>
      <c r="P7" s="252"/>
      <c r="Q7" s="252"/>
      <c r="R7" s="252"/>
    </row>
    <row r="8" spans="1:18" x14ac:dyDescent="0.25">
      <c r="A8" s="578" t="s">
        <v>40</v>
      </c>
      <c r="B8" s="579"/>
      <c r="C8" s="259">
        <f>SUM(D8:R8)</f>
        <v>0</v>
      </c>
      <c r="D8" s="116"/>
      <c r="E8" s="116"/>
      <c r="F8" s="116"/>
      <c r="G8" s="41"/>
      <c r="H8" s="185"/>
      <c r="I8" s="185"/>
      <c r="J8" s="185"/>
      <c r="K8" s="185"/>
      <c r="L8" s="78"/>
      <c r="M8" s="78"/>
      <c r="N8" s="78"/>
      <c r="O8" s="78"/>
      <c r="P8" s="78"/>
      <c r="Q8" s="78"/>
      <c r="R8" s="78"/>
    </row>
    <row r="9" spans="1:18" x14ac:dyDescent="0.25">
      <c r="A9" s="619" t="s">
        <v>41</v>
      </c>
      <c r="B9" s="620"/>
      <c r="C9" s="259">
        <f>SUM(D9:R9)</f>
        <v>0</v>
      </c>
      <c r="D9" s="117"/>
      <c r="E9" s="117"/>
      <c r="F9" s="117"/>
      <c r="G9" s="42"/>
      <c r="H9" s="186"/>
      <c r="I9" s="186"/>
      <c r="J9" s="186"/>
      <c r="K9" s="186"/>
      <c r="L9" s="94"/>
      <c r="M9" s="94"/>
      <c r="N9" s="94"/>
      <c r="O9" s="94"/>
      <c r="P9" s="94"/>
      <c r="Q9" s="94"/>
      <c r="R9" s="94"/>
    </row>
    <row r="10" spans="1:18" ht="15.75" x14ac:dyDescent="0.25">
      <c r="A10" s="618" t="s">
        <v>42</v>
      </c>
      <c r="B10" s="618"/>
      <c r="C10" s="258"/>
      <c r="D10" s="254"/>
      <c r="E10" s="254"/>
      <c r="F10" s="254"/>
      <c r="G10" s="255"/>
      <c r="H10" s="256"/>
      <c r="I10" s="255"/>
      <c r="J10" s="255"/>
      <c r="K10" s="255"/>
      <c r="L10" s="255"/>
      <c r="M10" s="255"/>
      <c r="N10" s="255"/>
      <c r="O10" s="255"/>
      <c r="P10" s="255"/>
      <c r="Q10" s="255"/>
      <c r="R10" s="255"/>
    </row>
    <row r="11" spans="1:18" x14ac:dyDescent="0.25">
      <c r="A11" s="610" t="s">
        <v>43</v>
      </c>
      <c r="B11" s="611"/>
      <c r="C11" s="259">
        <f>SUM(D11:R11)</f>
        <v>0</v>
      </c>
      <c r="D11" s="251"/>
      <c r="E11" s="251"/>
      <c r="F11" s="288"/>
      <c r="G11" s="40"/>
      <c r="H11" s="184"/>
      <c r="I11" s="184"/>
      <c r="J11" s="184"/>
      <c r="K11" s="184"/>
      <c r="L11" s="252"/>
      <c r="M11" s="252"/>
      <c r="N11" s="252"/>
      <c r="O11" s="252"/>
      <c r="P11" s="252"/>
      <c r="Q11" s="252"/>
      <c r="R11" s="252"/>
    </row>
    <row r="12" spans="1:18" x14ac:dyDescent="0.25">
      <c r="A12" s="578" t="s">
        <v>44</v>
      </c>
      <c r="B12" s="579"/>
      <c r="C12" s="259">
        <f>SUM(D12:R12)</f>
        <v>0</v>
      </c>
      <c r="D12" s="116"/>
      <c r="E12" s="116"/>
      <c r="F12" s="41"/>
      <c r="G12" s="41"/>
      <c r="H12" s="185"/>
      <c r="I12" s="185"/>
      <c r="J12" s="185"/>
      <c r="K12" s="185"/>
      <c r="L12" s="78"/>
      <c r="M12" s="78"/>
      <c r="N12" s="78"/>
      <c r="O12" s="78"/>
      <c r="P12" s="78"/>
      <c r="Q12" s="78"/>
      <c r="R12" s="78"/>
    </row>
    <row r="13" spans="1:18" x14ac:dyDescent="0.25">
      <c r="A13" s="578" t="s">
        <v>45</v>
      </c>
      <c r="B13" s="579"/>
      <c r="C13" s="259">
        <f>SUM(D13:R13)</f>
        <v>0</v>
      </c>
      <c r="D13" s="116"/>
      <c r="E13" s="116"/>
      <c r="F13" s="41"/>
      <c r="G13" s="41"/>
      <c r="H13" s="185"/>
      <c r="I13" s="185"/>
      <c r="J13" s="185"/>
      <c r="K13" s="185"/>
      <c r="L13" s="78"/>
      <c r="M13" s="78"/>
      <c r="N13" s="78"/>
      <c r="O13" s="78"/>
      <c r="P13" s="78"/>
      <c r="Q13" s="78"/>
      <c r="R13" s="78"/>
    </row>
    <row r="14" spans="1:18" x14ac:dyDescent="0.25">
      <c r="A14" s="619" t="s">
        <v>46</v>
      </c>
      <c r="B14" s="620"/>
      <c r="C14" s="259">
        <f>SUM(D14:R14)</f>
        <v>0</v>
      </c>
      <c r="D14" s="117"/>
      <c r="E14" s="117"/>
      <c r="F14" s="42"/>
      <c r="G14" s="42"/>
      <c r="H14" s="186"/>
      <c r="I14" s="186"/>
      <c r="J14" s="186"/>
      <c r="K14" s="186"/>
      <c r="L14" s="94"/>
      <c r="M14" s="94"/>
      <c r="N14" s="94"/>
      <c r="O14" s="94"/>
      <c r="P14" s="94"/>
      <c r="Q14" s="94"/>
      <c r="R14" s="94"/>
    </row>
    <row r="15" spans="1:18" ht="15.75" x14ac:dyDescent="0.25">
      <c r="A15" s="618" t="s">
        <v>47</v>
      </c>
      <c r="B15" s="618"/>
      <c r="C15" s="253"/>
      <c r="D15" s="254"/>
      <c r="E15" s="254"/>
      <c r="F15" s="254"/>
      <c r="G15" s="255"/>
      <c r="H15" s="256"/>
      <c r="I15" s="255"/>
      <c r="J15" s="255"/>
      <c r="K15" s="255"/>
      <c r="L15" s="255"/>
      <c r="M15" s="255"/>
      <c r="N15" s="255"/>
      <c r="O15" s="255"/>
      <c r="P15" s="255"/>
      <c r="Q15" s="255"/>
      <c r="R15" s="255"/>
    </row>
    <row r="16" spans="1:18" x14ac:dyDescent="0.25">
      <c r="A16" s="610" t="s">
        <v>48</v>
      </c>
      <c r="B16" s="611"/>
      <c r="C16" s="100">
        <f>SUM(D16:R16)</f>
        <v>0</v>
      </c>
      <c r="D16" s="251"/>
      <c r="E16" s="251"/>
      <c r="F16" s="40"/>
      <c r="G16" s="40"/>
      <c r="H16" s="184"/>
      <c r="I16" s="184"/>
      <c r="J16" s="184"/>
      <c r="K16" s="184"/>
      <c r="L16" s="252"/>
      <c r="M16" s="252"/>
      <c r="N16" s="252"/>
      <c r="O16" s="252"/>
      <c r="P16" s="252"/>
      <c r="Q16" s="252"/>
      <c r="R16" s="252"/>
    </row>
    <row r="17" spans="1:18" x14ac:dyDescent="0.25">
      <c r="A17" s="578" t="s">
        <v>49</v>
      </c>
      <c r="B17" s="579"/>
      <c r="C17" s="100">
        <f>SUM(D17:R17)</f>
        <v>0</v>
      </c>
      <c r="D17" s="116"/>
      <c r="E17" s="116"/>
      <c r="F17" s="41"/>
      <c r="G17" s="41"/>
      <c r="H17" s="185"/>
      <c r="I17" s="185"/>
      <c r="J17" s="185"/>
      <c r="K17" s="185"/>
      <c r="L17" s="78"/>
      <c r="M17" s="78"/>
      <c r="N17" s="78"/>
      <c r="O17" s="78"/>
      <c r="P17" s="78"/>
      <c r="Q17" s="78"/>
      <c r="R17" s="78"/>
    </row>
    <row r="18" spans="1:18" x14ac:dyDescent="0.25">
      <c r="A18" s="619" t="s">
        <v>41</v>
      </c>
      <c r="B18" s="620"/>
      <c r="C18" s="120">
        <f>SUM(D18:R18)</f>
        <v>0</v>
      </c>
      <c r="D18" s="117"/>
      <c r="E18" s="117"/>
      <c r="F18" s="42"/>
      <c r="G18" s="42"/>
      <c r="H18" s="186"/>
      <c r="I18" s="186"/>
      <c r="J18" s="186"/>
      <c r="K18" s="186"/>
      <c r="L18" s="94"/>
      <c r="M18" s="94"/>
      <c r="N18" s="94"/>
      <c r="O18" s="94"/>
      <c r="P18" s="94"/>
      <c r="Q18" s="94"/>
      <c r="R18" s="94"/>
    </row>
    <row r="19" spans="1:18" ht="15.75" x14ac:dyDescent="0.25">
      <c r="A19" s="618" t="s">
        <v>50</v>
      </c>
      <c r="B19" s="618"/>
      <c r="C19" s="253"/>
      <c r="D19" s="254"/>
      <c r="E19" s="254"/>
      <c r="F19" s="254"/>
      <c r="G19" s="255"/>
      <c r="H19" s="256"/>
      <c r="I19" s="255"/>
      <c r="J19" s="255"/>
      <c r="K19" s="255"/>
      <c r="L19" s="255"/>
      <c r="M19" s="255"/>
      <c r="N19" s="255"/>
      <c r="O19" s="255"/>
      <c r="P19" s="255"/>
      <c r="Q19" s="255"/>
      <c r="R19" s="255"/>
    </row>
    <row r="20" spans="1:18" x14ac:dyDescent="0.25">
      <c r="A20" s="610" t="s">
        <v>48</v>
      </c>
      <c r="B20" s="611"/>
      <c r="C20" s="100">
        <f>SUM(D20:R20)</f>
        <v>0</v>
      </c>
      <c r="D20" s="251"/>
      <c r="E20" s="251"/>
      <c r="F20" s="40"/>
      <c r="G20" s="40"/>
      <c r="H20" s="184"/>
      <c r="I20" s="184"/>
      <c r="J20" s="184"/>
      <c r="K20" s="184"/>
      <c r="L20" s="252"/>
      <c r="M20" s="252"/>
      <c r="N20" s="252"/>
      <c r="O20" s="252"/>
      <c r="P20" s="252"/>
      <c r="Q20" s="252"/>
      <c r="R20" s="252"/>
    </row>
    <row r="21" spans="1:18" x14ac:dyDescent="0.25">
      <c r="A21" s="579" t="s">
        <v>49</v>
      </c>
      <c r="B21" s="579"/>
      <c r="C21" s="100">
        <f>SUM(D21:R21)</f>
        <v>0</v>
      </c>
      <c r="D21" s="116"/>
      <c r="E21" s="116"/>
      <c r="F21" s="41"/>
      <c r="G21" s="41"/>
      <c r="H21" s="185"/>
      <c r="I21" s="185"/>
      <c r="J21" s="185"/>
      <c r="K21" s="185"/>
      <c r="L21" s="78"/>
      <c r="M21" s="78"/>
      <c r="N21" s="78"/>
      <c r="O21" s="78"/>
      <c r="P21" s="78"/>
      <c r="Q21" s="78"/>
      <c r="R21" s="78"/>
    </row>
    <row r="22" spans="1:18" x14ac:dyDescent="0.25">
      <c r="A22" s="619" t="s">
        <v>41</v>
      </c>
      <c r="B22" s="620"/>
      <c r="C22" s="120">
        <f>SUM(D22:R22)</f>
        <v>0</v>
      </c>
      <c r="D22" s="117"/>
      <c r="E22" s="117"/>
      <c r="F22" s="42"/>
      <c r="G22" s="42"/>
      <c r="H22" s="186"/>
      <c r="I22" s="186"/>
      <c r="J22" s="186"/>
      <c r="K22" s="186"/>
      <c r="L22" s="94"/>
      <c r="M22" s="94"/>
      <c r="N22" s="94"/>
      <c r="O22" s="94"/>
      <c r="P22" s="94"/>
      <c r="Q22" s="94"/>
      <c r="R22" s="94"/>
    </row>
    <row r="23" spans="1:18" ht="15.75" x14ac:dyDescent="0.25">
      <c r="A23" s="618" t="s">
        <v>51</v>
      </c>
      <c r="B23" s="618"/>
      <c r="C23" s="253"/>
      <c r="D23" s="254"/>
      <c r="E23" s="254"/>
      <c r="F23" s="254"/>
      <c r="G23" s="255"/>
      <c r="H23" s="256"/>
      <c r="I23" s="255"/>
      <c r="J23" s="255"/>
      <c r="K23" s="255"/>
      <c r="L23" s="255"/>
      <c r="M23" s="255"/>
      <c r="N23" s="255"/>
      <c r="O23" s="255"/>
      <c r="P23" s="255"/>
      <c r="Q23" s="255"/>
      <c r="R23" s="255"/>
    </row>
    <row r="24" spans="1:18" x14ac:dyDescent="0.25">
      <c r="A24" s="79" t="s">
        <v>48</v>
      </c>
      <c r="B24" s="80"/>
      <c r="C24" s="100">
        <f>SUM(D24:R24)</f>
        <v>0</v>
      </c>
      <c r="D24" s="251"/>
      <c r="E24" s="251"/>
      <c r="F24" s="40"/>
      <c r="G24" s="40"/>
      <c r="H24" s="184"/>
      <c r="I24" s="184"/>
      <c r="J24" s="184"/>
      <c r="K24" s="184"/>
      <c r="L24" s="252"/>
      <c r="M24" s="252"/>
      <c r="N24" s="252"/>
      <c r="O24" s="252"/>
      <c r="P24" s="252"/>
      <c r="Q24" s="252"/>
      <c r="R24" s="252"/>
    </row>
    <row r="25" spans="1:18" x14ac:dyDescent="0.25">
      <c r="A25" s="81" t="s">
        <v>49</v>
      </c>
      <c r="B25" s="82"/>
      <c r="C25" s="100">
        <f>SUM(D25:R25)</f>
        <v>0</v>
      </c>
      <c r="D25" s="116"/>
      <c r="E25" s="116"/>
      <c r="F25" s="41"/>
      <c r="G25" s="41"/>
      <c r="H25" s="185"/>
      <c r="I25" s="185"/>
      <c r="J25" s="185"/>
      <c r="K25" s="185"/>
      <c r="L25" s="78"/>
      <c r="M25" s="78"/>
      <c r="N25" s="78"/>
      <c r="O25" s="78"/>
      <c r="P25" s="78"/>
      <c r="Q25" s="78"/>
      <c r="R25" s="78"/>
    </row>
    <row r="26" spans="1:18" x14ac:dyDescent="0.25">
      <c r="A26" s="83" t="s">
        <v>41</v>
      </c>
      <c r="B26" s="84"/>
      <c r="C26" s="120">
        <f>SUM(D26:R26)</f>
        <v>0</v>
      </c>
      <c r="D26" s="117"/>
      <c r="E26" s="117"/>
      <c r="F26" s="42"/>
      <c r="G26" s="42"/>
      <c r="H26" s="186"/>
      <c r="I26" s="186"/>
      <c r="J26" s="186"/>
      <c r="K26" s="186"/>
      <c r="L26" s="94"/>
      <c r="M26" s="94"/>
      <c r="N26" s="94"/>
      <c r="O26" s="94"/>
      <c r="P26" s="94"/>
      <c r="Q26" s="94"/>
      <c r="R26" s="94"/>
    </row>
    <row r="27" spans="1:18" ht="15.75" x14ac:dyDescent="0.25">
      <c r="A27" s="257" t="s">
        <v>52</v>
      </c>
      <c r="B27" s="254"/>
      <c r="C27" s="253"/>
      <c r="D27" s="254"/>
      <c r="E27" s="254"/>
      <c r="F27" s="254"/>
      <c r="G27" s="255"/>
      <c r="H27" s="256"/>
      <c r="I27" s="255"/>
      <c r="J27" s="255"/>
      <c r="K27" s="255"/>
      <c r="L27" s="255"/>
      <c r="M27" s="255"/>
      <c r="N27" s="255"/>
      <c r="O27" s="255"/>
      <c r="P27" s="255"/>
      <c r="Q27" s="255"/>
      <c r="R27" s="255"/>
    </row>
    <row r="28" spans="1:18" x14ac:dyDescent="0.25">
      <c r="A28" s="79" t="s">
        <v>48</v>
      </c>
      <c r="B28" s="80"/>
      <c r="C28" s="100">
        <f t="shared" ref="C28:C43" si="0">SUM(D28:R28)</f>
        <v>0</v>
      </c>
      <c r="D28" s="251"/>
      <c r="E28" s="251"/>
      <c r="F28" s="40"/>
      <c r="G28" s="40"/>
      <c r="H28" s="184"/>
      <c r="I28" s="184"/>
      <c r="J28" s="184"/>
      <c r="K28" s="184"/>
      <c r="L28" s="252"/>
      <c r="M28" s="252"/>
      <c r="N28" s="252"/>
      <c r="O28" s="252"/>
      <c r="P28" s="252"/>
      <c r="Q28" s="252"/>
      <c r="R28" s="252"/>
    </row>
    <row r="29" spans="1:18" x14ac:dyDescent="0.25">
      <c r="A29" s="81" t="s">
        <v>49</v>
      </c>
      <c r="B29" s="82"/>
      <c r="C29" s="100">
        <f t="shared" si="0"/>
        <v>0</v>
      </c>
      <c r="D29" s="116"/>
      <c r="E29" s="116"/>
      <c r="F29" s="41"/>
      <c r="G29" s="41"/>
      <c r="H29" s="185"/>
      <c r="I29" s="185"/>
      <c r="J29" s="185"/>
      <c r="K29" s="185"/>
      <c r="L29" s="78"/>
      <c r="M29" s="78"/>
      <c r="N29" s="78"/>
      <c r="O29" s="78"/>
      <c r="P29" s="78"/>
      <c r="Q29" s="78"/>
      <c r="R29" s="78"/>
    </row>
    <row r="30" spans="1:18" x14ac:dyDescent="0.25">
      <c r="A30" s="85" t="s">
        <v>41</v>
      </c>
      <c r="B30" s="80"/>
      <c r="C30" s="100">
        <f t="shared" si="0"/>
        <v>0</v>
      </c>
      <c r="D30" s="116"/>
      <c r="E30" s="116"/>
      <c r="F30" s="41"/>
      <c r="G30" s="41"/>
      <c r="H30" s="185"/>
      <c r="I30" s="185"/>
      <c r="J30" s="185"/>
      <c r="K30" s="185"/>
      <c r="L30" s="78"/>
      <c r="M30" s="78"/>
      <c r="N30" s="78"/>
      <c r="O30" s="78"/>
      <c r="P30" s="78"/>
      <c r="Q30" s="78"/>
      <c r="R30" s="78"/>
    </row>
    <row r="31" spans="1:18" x14ac:dyDescent="0.25">
      <c r="A31" s="86" t="s">
        <v>53</v>
      </c>
      <c r="B31" s="87"/>
      <c r="C31" s="100">
        <f t="shared" si="0"/>
        <v>0</v>
      </c>
      <c r="D31" s="116"/>
      <c r="E31" s="116"/>
      <c r="F31" s="41"/>
      <c r="G31" s="41"/>
      <c r="H31" s="185"/>
      <c r="I31" s="185"/>
      <c r="J31" s="185"/>
      <c r="K31" s="185"/>
      <c r="L31" s="78"/>
      <c r="M31" s="78"/>
      <c r="N31" s="78"/>
      <c r="O31" s="78"/>
      <c r="P31" s="78"/>
      <c r="Q31" s="78"/>
      <c r="R31" s="78"/>
    </row>
    <row r="32" spans="1:18" x14ac:dyDescent="0.25">
      <c r="A32" s="86" t="s">
        <v>54</v>
      </c>
      <c r="B32" s="87"/>
      <c r="C32" s="100">
        <f t="shared" si="0"/>
        <v>0</v>
      </c>
      <c r="D32" s="116"/>
      <c r="E32" s="116"/>
      <c r="F32" s="41"/>
      <c r="G32" s="41"/>
      <c r="H32" s="185"/>
      <c r="I32" s="185"/>
      <c r="J32" s="185"/>
      <c r="K32" s="185"/>
      <c r="L32" s="78"/>
      <c r="M32" s="78"/>
      <c r="N32" s="78"/>
      <c r="O32" s="78"/>
      <c r="P32" s="78"/>
      <c r="Q32" s="78"/>
      <c r="R32" s="78"/>
    </row>
    <row r="33" spans="1:18" x14ac:dyDescent="0.25">
      <c r="A33" s="86" t="s">
        <v>55</v>
      </c>
      <c r="B33" s="87"/>
      <c r="C33" s="100">
        <f t="shared" si="0"/>
        <v>0</v>
      </c>
      <c r="D33" s="116"/>
      <c r="E33" s="116"/>
      <c r="F33" s="41"/>
      <c r="G33" s="41"/>
      <c r="H33" s="185"/>
      <c r="I33" s="185"/>
      <c r="J33" s="185"/>
      <c r="K33" s="185"/>
      <c r="L33" s="78"/>
      <c r="M33" s="78"/>
      <c r="N33" s="78"/>
      <c r="O33" s="78"/>
      <c r="P33" s="78"/>
      <c r="Q33" s="78"/>
      <c r="R33" s="78"/>
    </row>
    <row r="34" spans="1:18" x14ac:dyDescent="0.25">
      <c r="A34" s="86" t="s">
        <v>56</v>
      </c>
      <c r="B34" s="87"/>
      <c r="C34" s="100">
        <f t="shared" si="0"/>
        <v>0</v>
      </c>
      <c r="D34" s="116"/>
      <c r="E34" s="116"/>
      <c r="F34" s="41"/>
      <c r="G34" s="41"/>
      <c r="H34" s="185"/>
      <c r="I34" s="185"/>
      <c r="J34" s="185"/>
      <c r="K34" s="185"/>
      <c r="L34" s="78"/>
      <c r="M34" s="78"/>
      <c r="N34" s="78"/>
      <c r="O34" s="78"/>
      <c r="P34" s="78"/>
      <c r="Q34" s="78"/>
      <c r="R34" s="78"/>
    </row>
    <row r="35" spans="1:18" x14ac:dyDescent="0.25">
      <c r="A35" s="86" t="s">
        <v>57</v>
      </c>
      <c r="B35" s="88"/>
      <c r="C35" s="100">
        <f t="shared" si="0"/>
        <v>0</v>
      </c>
      <c r="D35" s="116"/>
      <c r="E35" s="116"/>
      <c r="F35" s="41"/>
      <c r="G35" s="41"/>
      <c r="H35" s="185"/>
      <c r="I35" s="185"/>
      <c r="J35" s="185"/>
      <c r="K35" s="185"/>
      <c r="L35" s="78"/>
      <c r="M35" s="78"/>
      <c r="N35" s="78"/>
      <c r="O35" s="78"/>
      <c r="P35" s="78"/>
      <c r="Q35" s="78"/>
      <c r="R35" s="78"/>
    </row>
    <row r="36" spans="1:18" x14ac:dyDescent="0.25">
      <c r="A36" s="89" t="s">
        <v>58</v>
      </c>
      <c r="B36" s="87"/>
      <c r="C36" s="100">
        <f t="shared" si="0"/>
        <v>0</v>
      </c>
      <c r="D36" s="116"/>
      <c r="E36" s="116"/>
      <c r="F36" s="41"/>
      <c r="G36" s="41"/>
      <c r="H36" s="185"/>
      <c r="I36" s="185"/>
      <c r="J36" s="185"/>
      <c r="K36" s="185"/>
      <c r="L36" s="78"/>
      <c r="M36" s="78"/>
      <c r="N36" s="78"/>
      <c r="O36" s="78"/>
      <c r="P36" s="78"/>
      <c r="Q36" s="78"/>
      <c r="R36" s="78"/>
    </row>
    <row r="37" spans="1:18" x14ac:dyDescent="0.25">
      <c r="A37" s="583" t="s">
        <v>59</v>
      </c>
      <c r="B37" s="584"/>
      <c r="C37" s="100">
        <f t="shared" si="0"/>
        <v>0</v>
      </c>
      <c r="D37" s="116"/>
      <c r="E37" s="116"/>
      <c r="F37" s="41"/>
      <c r="G37" s="41"/>
      <c r="H37" s="185"/>
      <c r="I37" s="185"/>
      <c r="J37" s="185"/>
      <c r="K37" s="185"/>
      <c r="L37" s="78"/>
      <c r="M37" s="78"/>
      <c r="N37" s="78"/>
      <c r="O37" s="78"/>
      <c r="P37" s="78"/>
      <c r="Q37" s="78"/>
      <c r="R37" s="78"/>
    </row>
    <row r="38" spans="1:18" x14ac:dyDescent="0.25">
      <c r="A38" s="86" t="s">
        <v>60</v>
      </c>
      <c r="B38" s="87"/>
      <c r="C38" s="100">
        <f t="shared" si="0"/>
        <v>0</v>
      </c>
      <c r="D38" s="116"/>
      <c r="E38" s="116"/>
      <c r="F38" s="41"/>
      <c r="G38" s="41"/>
      <c r="H38" s="185"/>
      <c r="I38" s="185"/>
      <c r="J38" s="185"/>
      <c r="K38" s="185"/>
      <c r="L38" s="78"/>
      <c r="M38" s="78"/>
      <c r="N38" s="78"/>
      <c r="O38" s="78"/>
      <c r="P38" s="78"/>
      <c r="Q38" s="78"/>
      <c r="R38" s="78"/>
    </row>
    <row r="39" spans="1:18" x14ac:dyDescent="0.25">
      <c r="A39" s="89" t="s">
        <v>61</v>
      </c>
      <c r="B39" s="90"/>
      <c r="C39" s="100">
        <f t="shared" si="0"/>
        <v>0</v>
      </c>
      <c r="D39" s="116"/>
      <c r="E39" s="116"/>
      <c r="F39" s="41"/>
      <c r="G39" s="41"/>
      <c r="H39" s="185"/>
      <c r="I39" s="185"/>
      <c r="J39" s="185"/>
      <c r="K39" s="185"/>
      <c r="L39" s="78"/>
      <c r="M39" s="78"/>
      <c r="N39" s="78"/>
      <c r="O39" s="78"/>
      <c r="P39" s="78"/>
      <c r="Q39" s="78"/>
      <c r="R39" s="78"/>
    </row>
    <row r="40" spans="1:18" x14ac:dyDescent="0.25">
      <c r="A40" s="91" t="s">
        <v>62</v>
      </c>
      <c r="B40" s="87"/>
      <c r="C40" s="100">
        <f t="shared" si="0"/>
        <v>0</v>
      </c>
      <c r="D40" s="116"/>
      <c r="E40" s="116"/>
      <c r="F40" s="41"/>
      <c r="G40" s="41"/>
      <c r="H40" s="185"/>
      <c r="I40" s="185"/>
      <c r="J40" s="185"/>
      <c r="K40" s="185"/>
      <c r="L40" s="78"/>
      <c r="M40" s="78"/>
      <c r="N40" s="78"/>
      <c r="O40" s="78"/>
      <c r="P40" s="78"/>
      <c r="Q40" s="78"/>
      <c r="R40" s="78"/>
    </row>
    <row r="41" spans="1:18" x14ac:dyDescent="0.25">
      <c r="A41" s="86" t="s">
        <v>63</v>
      </c>
      <c r="B41" s="90"/>
      <c r="C41" s="100">
        <f t="shared" si="0"/>
        <v>0</v>
      </c>
      <c r="D41" s="116"/>
      <c r="E41" s="116"/>
      <c r="F41" s="41"/>
      <c r="G41" s="41"/>
      <c r="H41" s="185"/>
      <c r="I41" s="185"/>
      <c r="J41" s="185"/>
      <c r="K41" s="185"/>
      <c r="L41" s="78"/>
      <c r="M41" s="78"/>
      <c r="N41" s="78"/>
      <c r="O41" s="78"/>
      <c r="P41" s="78"/>
      <c r="Q41" s="78"/>
      <c r="R41" s="78"/>
    </row>
    <row r="42" spans="1:18" x14ac:dyDescent="0.25">
      <c r="A42" s="86" t="s">
        <v>64</v>
      </c>
      <c r="B42" s="87"/>
      <c r="C42" s="100">
        <f t="shared" si="0"/>
        <v>0</v>
      </c>
      <c r="D42" s="116"/>
      <c r="E42" s="116"/>
      <c r="F42" s="41"/>
      <c r="G42" s="41"/>
      <c r="H42" s="185"/>
      <c r="I42" s="185"/>
      <c r="J42" s="185"/>
      <c r="K42" s="185"/>
      <c r="L42" s="78"/>
      <c r="M42" s="78"/>
      <c r="N42" s="78"/>
      <c r="O42" s="78"/>
      <c r="P42" s="78"/>
      <c r="Q42" s="78"/>
      <c r="R42" s="78"/>
    </row>
    <row r="43" spans="1:18" ht="15.75" thickBot="1" x14ac:dyDescent="0.3">
      <c r="A43" s="92" t="s">
        <v>65</v>
      </c>
      <c r="B43" s="88"/>
      <c r="C43" s="100">
        <f t="shared" si="0"/>
        <v>0</v>
      </c>
      <c r="D43" s="117"/>
      <c r="E43" s="117"/>
      <c r="F43" s="42"/>
      <c r="G43" s="42"/>
      <c r="H43" s="186"/>
      <c r="I43" s="186"/>
      <c r="J43" s="186"/>
      <c r="K43" s="186"/>
      <c r="L43" s="94"/>
      <c r="M43" s="94"/>
      <c r="N43" s="94"/>
      <c r="O43" s="94"/>
      <c r="P43" s="94"/>
      <c r="Q43" s="94"/>
      <c r="R43" s="94"/>
    </row>
    <row r="44" spans="1:18" ht="16.5" thickBot="1" x14ac:dyDescent="0.3">
      <c r="A44" s="585" t="s">
        <v>84</v>
      </c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7"/>
    </row>
    <row r="45" spans="1:18" ht="24.95" customHeight="1" thickBot="1" x14ac:dyDescent="0.3">
      <c r="A45" s="588" t="s">
        <v>278</v>
      </c>
      <c r="B45" s="589"/>
      <c r="C45" s="99">
        <f t="shared" ref="C45:C50" si="1">SUM(D45:R45)</f>
        <v>159</v>
      </c>
      <c r="D45" s="113">
        <v>0</v>
      </c>
      <c r="E45" s="113">
        <v>5</v>
      </c>
      <c r="F45" s="40">
        <v>4</v>
      </c>
      <c r="G45" s="40">
        <v>35</v>
      </c>
      <c r="H45" s="247">
        <v>24</v>
      </c>
      <c r="I45" s="247">
        <v>62</v>
      </c>
      <c r="J45" s="184">
        <v>15</v>
      </c>
      <c r="K45" s="184">
        <v>14</v>
      </c>
      <c r="L45" s="95"/>
      <c r="M45" s="95"/>
      <c r="N45" s="95"/>
      <c r="O45" s="95"/>
      <c r="P45" s="95"/>
      <c r="Q45" s="95"/>
      <c r="R45" s="95"/>
    </row>
    <row r="46" spans="1:18" ht="24.95" customHeight="1" thickBot="1" x14ac:dyDescent="0.3">
      <c r="A46" s="581" t="s">
        <v>279</v>
      </c>
      <c r="B46" s="582"/>
      <c r="C46" s="99">
        <f t="shared" si="1"/>
        <v>144</v>
      </c>
      <c r="D46" s="114">
        <v>0</v>
      </c>
      <c r="E46" s="114">
        <v>4</v>
      </c>
      <c r="F46" s="41">
        <v>28</v>
      </c>
      <c r="G46" s="41">
        <v>36</v>
      </c>
      <c r="H46" s="248">
        <v>22</v>
      </c>
      <c r="I46" s="248">
        <v>16</v>
      </c>
      <c r="J46" s="185">
        <v>2</v>
      </c>
      <c r="K46" s="185">
        <v>36</v>
      </c>
      <c r="L46" s="93"/>
      <c r="M46" s="93"/>
      <c r="N46" s="93"/>
      <c r="O46" s="93"/>
      <c r="P46" s="93"/>
      <c r="Q46" s="93"/>
      <c r="R46" s="93"/>
    </row>
    <row r="47" spans="1:18" ht="24.95" customHeight="1" thickBot="1" x14ac:dyDescent="0.3">
      <c r="A47" s="581" t="s">
        <v>280</v>
      </c>
      <c r="B47" s="582"/>
      <c r="C47" s="99">
        <f t="shared" si="1"/>
        <v>60</v>
      </c>
      <c r="D47" s="114">
        <v>0</v>
      </c>
      <c r="E47" s="114">
        <v>0</v>
      </c>
      <c r="F47" s="41">
        <v>12</v>
      </c>
      <c r="G47" s="41">
        <v>1</v>
      </c>
      <c r="H47" s="248">
        <v>13</v>
      </c>
      <c r="I47" s="248">
        <v>24</v>
      </c>
      <c r="J47" s="185">
        <v>1</v>
      </c>
      <c r="K47" s="185">
        <v>9</v>
      </c>
      <c r="L47" s="93"/>
      <c r="M47" s="93"/>
      <c r="N47" s="93"/>
      <c r="O47" s="93"/>
      <c r="P47" s="93"/>
      <c r="Q47" s="93"/>
      <c r="R47" s="93"/>
    </row>
    <row r="48" spans="1:18" ht="24.95" customHeight="1" thickBot="1" x14ac:dyDescent="0.3">
      <c r="A48" s="581" t="s">
        <v>281</v>
      </c>
      <c r="B48" s="582"/>
      <c r="C48" s="99">
        <f t="shared" si="1"/>
        <v>24</v>
      </c>
      <c r="D48" s="114">
        <v>0</v>
      </c>
      <c r="E48" s="114">
        <v>0</v>
      </c>
      <c r="F48" s="41">
        <v>1</v>
      </c>
      <c r="G48" s="41">
        <v>1</v>
      </c>
      <c r="H48" s="248">
        <v>7</v>
      </c>
      <c r="I48" s="248">
        <v>4</v>
      </c>
      <c r="J48" s="185">
        <v>5</v>
      </c>
      <c r="K48" s="185">
        <v>6</v>
      </c>
      <c r="L48" s="93"/>
      <c r="M48" s="93"/>
      <c r="N48" s="93"/>
      <c r="O48" s="93"/>
      <c r="P48" s="93"/>
      <c r="Q48" s="93"/>
      <c r="R48" s="93"/>
    </row>
    <row r="49" spans="1:18" ht="24.95" customHeight="1" thickBot="1" x14ac:dyDescent="0.3">
      <c r="A49" s="581" t="s">
        <v>274</v>
      </c>
      <c r="B49" s="582"/>
      <c r="C49" s="99">
        <f t="shared" si="1"/>
        <v>33</v>
      </c>
      <c r="D49" s="114">
        <v>0</v>
      </c>
      <c r="E49" s="114">
        <v>0</v>
      </c>
      <c r="F49" s="41">
        <v>0</v>
      </c>
      <c r="G49" s="41">
        <v>25</v>
      </c>
      <c r="H49" s="248">
        <v>1</v>
      </c>
      <c r="I49" s="248">
        <v>1</v>
      </c>
      <c r="J49" s="185">
        <v>1</v>
      </c>
      <c r="K49" s="185">
        <v>5</v>
      </c>
      <c r="L49" s="93"/>
      <c r="M49" s="93"/>
      <c r="N49" s="93"/>
      <c r="O49" s="93"/>
      <c r="P49" s="93"/>
      <c r="Q49" s="93"/>
      <c r="R49" s="93"/>
    </row>
    <row r="50" spans="1:18" ht="24.95" customHeight="1" thickBot="1" x14ac:dyDescent="0.3">
      <c r="A50" s="592" t="s">
        <v>282</v>
      </c>
      <c r="B50" s="593"/>
      <c r="C50" s="99">
        <f t="shared" si="1"/>
        <v>23</v>
      </c>
      <c r="D50" s="115">
        <v>0</v>
      </c>
      <c r="E50" s="115">
        <v>0</v>
      </c>
      <c r="F50" s="41">
        <v>6</v>
      </c>
      <c r="G50" s="41">
        <v>12</v>
      </c>
      <c r="H50" s="249">
        <v>2</v>
      </c>
      <c r="I50" s="249">
        <v>1</v>
      </c>
      <c r="J50" s="186">
        <v>0</v>
      </c>
      <c r="K50" s="186">
        <v>2</v>
      </c>
      <c r="L50" s="96"/>
      <c r="M50" s="96"/>
      <c r="N50" s="96"/>
      <c r="O50" s="96"/>
      <c r="P50" s="96"/>
      <c r="Q50" s="96"/>
      <c r="R50" s="96"/>
    </row>
    <row r="51" spans="1:18" ht="16.5" thickBot="1" x14ac:dyDescent="0.3">
      <c r="A51" s="594" t="s">
        <v>85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6"/>
    </row>
    <row r="52" spans="1:18" x14ac:dyDescent="0.25">
      <c r="A52" s="597" t="s">
        <v>15</v>
      </c>
      <c r="B52" s="597"/>
      <c r="C52" s="76" t="s">
        <v>82</v>
      </c>
      <c r="D52" s="76"/>
      <c r="E52" s="182"/>
      <c r="F52" s="97"/>
      <c r="G52" s="97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</row>
    <row r="53" spans="1:18" x14ac:dyDescent="0.25">
      <c r="A53" s="590" t="s">
        <v>8</v>
      </c>
      <c r="B53" s="591"/>
      <c r="C53" s="128">
        <f t="shared" ref="C53:C65" si="2">SUM(D53:R53)</f>
        <v>51570.45</v>
      </c>
      <c r="D53" s="129">
        <v>0</v>
      </c>
      <c r="E53" s="129">
        <v>0</v>
      </c>
      <c r="F53" s="130">
        <v>10000</v>
      </c>
      <c r="G53" s="191">
        <v>9932</v>
      </c>
      <c r="H53" s="188">
        <v>13000</v>
      </c>
      <c r="I53" s="188">
        <v>11000</v>
      </c>
      <c r="J53" s="193">
        <v>7556</v>
      </c>
      <c r="K53" s="193">
        <v>82.45</v>
      </c>
      <c r="L53" s="131"/>
      <c r="M53" s="131"/>
      <c r="N53" s="131"/>
      <c r="O53" s="131"/>
      <c r="P53" s="131"/>
      <c r="Q53" s="131"/>
      <c r="R53" s="131"/>
    </row>
    <row r="54" spans="1:18" x14ac:dyDescent="0.25">
      <c r="A54" s="590" t="s">
        <v>9</v>
      </c>
      <c r="B54" s="591"/>
      <c r="C54" s="128">
        <f t="shared" si="2"/>
        <v>18102</v>
      </c>
      <c r="D54" s="129">
        <v>0</v>
      </c>
      <c r="E54" s="129">
        <v>0</v>
      </c>
      <c r="F54" s="130">
        <v>3000</v>
      </c>
      <c r="G54" s="191">
        <v>3728</v>
      </c>
      <c r="H54" s="188">
        <v>4100</v>
      </c>
      <c r="I54" s="188">
        <v>2400</v>
      </c>
      <c r="J54" s="193">
        <v>1230</v>
      </c>
      <c r="K54" s="193">
        <v>3644</v>
      </c>
      <c r="L54" s="131"/>
      <c r="M54" s="131"/>
      <c r="N54" s="131"/>
      <c r="O54" s="131"/>
      <c r="P54" s="131"/>
      <c r="Q54" s="131"/>
      <c r="R54" s="131"/>
    </row>
    <row r="55" spans="1:18" x14ac:dyDescent="0.25">
      <c r="A55" s="590" t="s">
        <v>10</v>
      </c>
      <c r="B55" s="591"/>
      <c r="C55" s="128">
        <f t="shared" si="2"/>
        <v>200</v>
      </c>
      <c r="D55" s="129">
        <v>0</v>
      </c>
      <c r="E55" s="129">
        <v>0</v>
      </c>
      <c r="F55" s="130">
        <v>200</v>
      </c>
      <c r="G55" s="191">
        <v>0</v>
      </c>
      <c r="H55" s="188">
        <v>0</v>
      </c>
      <c r="I55" s="188">
        <v>0</v>
      </c>
      <c r="J55" s="193">
        <v>0</v>
      </c>
      <c r="K55" s="193">
        <v>0</v>
      </c>
      <c r="L55" s="131"/>
      <c r="M55" s="131"/>
      <c r="N55" s="131"/>
      <c r="O55" s="131"/>
      <c r="P55" s="131"/>
      <c r="Q55" s="131"/>
      <c r="R55" s="131"/>
    </row>
    <row r="56" spans="1:18" x14ac:dyDescent="0.25">
      <c r="A56" s="590" t="s">
        <v>17</v>
      </c>
      <c r="B56" s="591"/>
      <c r="C56" s="128">
        <f t="shared" si="2"/>
        <v>0</v>
      </c>
      <c r="D56" s="129"/>
      <c r="E56" s="129"/>
      <c r="F56" s="130">
        <v>0</v>
      </c>
      <c r="G56" s="191">
        <v>0</v>
      </c>
      <c r="H56" s="188">
        <v>0</v>
      </c>
      <c r="I56" s="188">
        <v>0</v>
      </c>
      <c r="J56" s="193">
        <v>0</v>
      </c>
      <c r="K56" s="193">
        <v>0</v>
      </c>
      <c r="L56" s="131"/>
      <c r="M56" s="131"/>
      <c r="N56" s="131"/>
      <c r="O56" s="131"/>
      <c r="P56" s="131"/>
      <c r="Q56" s="131"/>
      <c r="R56" s="131"/>
    </row>
    <row r="57" spans="1:18" x14ac:dyDescent="0.25">
      <c r="A57" s="590" t="s">
        <v>11</v>
      </c>
      <c r="B57" s="591"/>
      <c r="C57" s="128">
        <f t="shared" si="2"/>
        <v>6918</v>
      </c>
      <c r="D57" s="129">
        <v>0</v>
      </c>
      <c r="E57" s="129">
        <v>0</v>
      </c>
      <c r="F57" s="130">
        <v>1458</v>
      </c>
      <c r="G57" s="191">
        <v>0</v>
      </c>
      <c r="H57" s="188">
        <v>5460</v>
      </c>
      <c r="I57" s="188">
        <v>0</v>
      </c>
      <c r="J57" s="193">
        <v>0</v>
      </c>
      <c r="K57" s="193">
        <v>0</v>
      </c>
      <c r="L57" s="131"/>
      <c r="M57" s="131"/>
      <c r="N57" s="131"/>
      <c r="O57" s="131"/>
      <c r="P57" s="131"/>
      <c r="Q57" s="131"/>
      <c r="R57" s="131"/>
    </row>
    <row r="58" spans="1:18" x14ac:dyDescent="0.25">
      <c r="A58" s="590" t="s">
        <v>18</v>
      </c>
      <c r="B58" s="591"/>
      <c r="C58" s="128">
        <f t="shared" si="2"/>
        <v>0</v>
      </c>
      <c r="D58" s="129"/>
      <c r="E58" s="129"/>
      <c r="F58" s="133">
        <v>0</v>
      </c>
      <c r="G58" s="191">
        <v>0</v>
      </c>
      <c r="H58" s="188">
        <v>0</v>
      </c>
      <c r="I58" s="188">
        <v>0</v>
      </c>
      <c r="J58" s="193">
        <v>0</v>
      </c>
      <c r="K58" s="193">
        <v>0</v>
      </c>
      <c r="L58" s="131"/>
      <c r="M58" s="131"/>
      <c r="N58" s="131"/>
      <c r="O58" s="131"/>
      <c r="P58" s="131"/>
      <c r="Q58" s="131"/>
      <c r="R58" s="131"/>
    </row>
    <row r="59" spans="1:18" x14ac:dyDescent="0.25">
      <c r="A59" s="590" t="s">
        <v>19</v>
      </c>
      <c r="B59" s="591"/>
      <c r="C59" s="128">
        <f t="shared" si="2"/>
        <v>50</v>
      </c>
      <c r="D59" s="129"/>
      <c r="E59" s="129">
        <v>0</v>
      </c>
      <c r="F59" s="133">
        <v>50</v>
      </c>
      <c r="G59" s="191">
        <v>0</v>
      </c>
      <c r="H59" s="188">
        <v>0</v>
      </c>
      <c r="I59" s="188">
        <v>0</v>
      </c>
      <c r="J59" s="193">
        <v>0</v>
      </c>
      <c r="K59" s="193">
        <v>0</v>
      </c>
      <c r="L59" s="131"/>
      <c r="M59" s="131"/>
      <c r="N59" s="131"/>
      <c r="O59" s="131"/>
      <c r="P59" s="131"/>
      <c r="Q59" s="131"/>
      <c r="R59" s="131"/>
    </row>
    <row r="60" spans="1:18" x14ac:dyDescent="0.25">
      <c r="A60" s="590" t="s">
        <v>20</v>
      </c>
      <c r="B60" s="591"/>
      <c r="C60" s="128">
        <f t="shared" si="2"/>
        <v>0</v>
      </c>
      <c r="D60" s="129"/>
      <c r="E60" s="129">
        <v>0</v>
      </c>
      <c r="F60" s="133">
        <v>0</v>
      </c>
      <c r="G60" s="191">
        <v>0</v>
      </c>
      <c r="H60" s="188">
        <v>0</v>
      </c>
      <c r="I60" s="188">
        <v>0</v>
      </c>
      <c r="J60" s="193">
        <v>0</v>
      </c>
      <c r="K60" s="193">
        <v>0</v>
      </c>
      <c r="L60" s="131"/>
      <c r="M60" s="131"/>
      <c r="N60" s="131"/>
      <c r="O60" s="131"/>
      <c r="P60" s="131"/>
      <c r="Q60" s="131"/>
      <c r="R60" s="131"/>
    </row>
    <row r="61" spans="1:18" x14ac:dyDescent="0.25">
      <c r="A61" s="590" t="s">
        <v>21</v>
      </c>
      <c r="B61" s="591"/>
      <c r="C61" s="128">
        <f t="shared" si="2"/>
        <v>23256</v>
      </c>
      <c r="D61" s="129"/>
      <c r="E61" s="129">
        <v>0</v>
      </c>
      <c r="F61" s="133">
        <v>0</v>
      </c>
      <c r="G61" s="191">
        <v>0</v>
      </c>
      <c r="H61" s="188">
        <v>0</v>
      </c>
      <c r="I61" s="188">
        <v>0</v>
      </c>
      <c r="J61" s="193">
        <v>0</v>
      </c>
      <c r="K61" s="193">
        <v>23256</v>
      </c>
      <c r="L61" s="131"/>
      <c r="M61" s="131"/>
      <c r="N61" s="131"/>
      <c r="O61" s="131"/>
      <c r="P61" s="131"/>
      <c r="Q61" s="131"/>
      <c r="R61" s="131"/>
    </row>
    <row r="62" spans="1:18" x14ac:dyDescent="0.25">
      <c r="A62" s="590" t="s">
        <v>12</v>
      </c>
      <c r="B62" s="591"/>
      <c r="C62" s="128">
        <f t="shared" si="2"/>
        <v>62159</v>
      </c>
      <c r="D62" s="129">
        <v>0</v>
      </c>
      <c r="E62" s="129">
        <v>8191</v>
      </c>
      <c r="F62" s="130">
        <v>4800</v>
      </c>
      <c r="G62" s="191">
        <v>7780</v>
      </c>
      <c r="H62" s="188">
        <v>25000</v>
      </c>
      <c r="I62" s="188">
        <v>3434</v>
      </c>
      <c r="J62" s="193">
        <v>7404</v>
      </c>
      <c r="K62" s="193">
        <v>5550</v>
      </c>
      <c r="L62" s="131"/>
      <c r="M62" s="131"/>
      <c r="N62" s="131"/>
      <c r="O62" s="131"/>
      <c r="P62" s="131"/>
      <c r="Q62" s="131"/>
      <c r="R62" s="131"/>
    </row>
    <row r="63" spans="1:18" x14ac:dyDescent="0.25">
      <c r="A63" s="590" t="s">
        <v>13</v>
      </c>
      <c r="B63" s="591"/>
      <c r="C63" s="128">
        <f t="shared" si="2"/>
        <v>17046.5</v>
      </c>
      <c r="D63" s="129">
        <v>0</v>
      </c>
      <c r="E63" s="129">
        <v>0</v>
      </c>
      <c r="F63" s="133">
        <v>0</v>
      </c>
      <c r="G63" s="191">
        <v>0</v>
      </c>
      <c r="H63" s="188">
        <v>0</v>
      </c>
      <c r="I63" s="188">
        <v>17000</v>
      </c>
      <c r="J63" s="193">
        <v>46.5</v>
      </c>
      <c r="K63" s="193">
        <v>0</v>
      </c>
      <c r="L63" s="131"/>
      <c r="M63" s="131"/>
      <c r="N63" s="131"/>
      <c r="O63" s="131"/>
      <c r="P63" s="131"/>
      <c r="Q63" s="131"/>
      <c r="R63" s="131"/>
    </row>
    <row r="64" spans="1:18" x14ac:dyDescent="0.25">
      <c r="A64" s="590" t="s">
        <v>14</v>
      </c>
      <c r="B64" s="591"/>
      <c r="C64" s="128">
        <f t="shared" si="2"/>
        <v>0</v>
      </c>
      <c r="D64" s="129">
        <v>0</v>
      </c>
      <c r="E64" s="129">
        <v>0</v>
      </c>
      <c r="F64" s="133">
        <v>0</v>
      </c>
      <c r="G64" s="191">
        <v>0</v>
      </c>
      <c r="H64" s="188">
        <v>0</v>
      </c>
      <c r="I64" s="188">
        <v>0</v>
      </c>
      <c r="J64" s="193">
        <v>0</v>
      </c>
      <c r="K64" s="193">
        <v>0</v>
      </c>
      <c r="L64" s="131"/>
      <c r="M64" s="131"/>
      <c r="N64" s="131"/>
      <c r="O64" s="131"/>
      <c r="P64" s="131"/>
      <c r="Q64" s="131"/>
      <c r="R64" s="131"/>
    </row>
    <row r="65" spans="1:18" ht="15.75" thickBot="1" x14ac:dyDescent="0.3">
      <c r="A65" s="598" t="s">
        <v>22</v>
      </c>
      <c r="B65" s="599"/>
      <c r="C65" s="128">
        <f t="shared" si="2"/>
        <v>0</v>
      </c>
      <c r="D65" s="134">
        <v>0</v>
      </c>
      <c r="E65" s="134">
        <v>0</v>
      </c>
      <c r="F65" s="133">
        <v>0</v>
      </c>
      <c r="G65" s="420">
        <v>0</v>
      </c>
      <c r="H65" s="189">
        <v>0</v>
      </c>
      <c r="I65" s="189">
        <v>0</v>
      </c>
      <c r="J65" s="194">
        <v>0</v>
      </c>
      <c r="K65" s="194"/>
      <c r="L65" s="136"/>
      <c r="M65" s="136"/>
      <c r="N65" s="136"/>
      <c r="O65" s="136"/>
      <c r="P65" s="136"/>
      <c r="Q65" s="136"/>
      <c r="R65" s="136"/>
    </row>
    <row r="66" spans="1:18" ht="15.75" thickBot="1" x14ac:dyDescent="0.3">
      <c r="A66" s="600" t="s">
        <v>87</v>
      </c>
      <c r="B66" s="601"/>
      <c r="C66" s="137">
        <f>SUM(C53:C65)</f>
        <v>179301.95</v>
      </c>
      <c r="D66" s="138">
        <f>SUM(D52:D65)</f>
        <v>0</v>
      </c>
      <c r="E66" s="138">
        <f t="shared" ref="E66:R66" si="3">SUM(E52:E65)</f>
        <v>8191</v>
      </c>
      <c r="F66" s="138">
        <f t="shared" si="3"/>
        <v>19508</v>
      </c>
      <c r="G66" s="138">
        <f t="shared" si="3"/>
        <v>21440</v>
      </c>
      <c r="H66" s="138">
        <f t="shared" si="3"/>
        <v>47560</v>
      </c>
      <c r="I66" s="138">
        <f t="shared" si="3"/>
        <v>33834</v>
      </c>
      <c r="J66" s="138">
        <f t="shared" si="3"/>
        <v>16236.5</v>
      </c>
      <c r="K66" s="138">
        <f t="shared" si="3"/>
        <v>32532.45</v>
      </c>
      <c r="L66" s="138">
        <f t="shared" si="3"/>
        <v>0</v>
      </c>
      <c r="M66" s="138">
        <f t="shared" si="3"/>
        <v>0</v>
      </c>
      <c r="N66" s="138">
        <f t="shared" si="3"/>
        <v>0</v>
      </c>
      <c r="O66" s="138">
        <f t="shared" si="3"/>
        <v>0</v>
      </c>
      <c r="P66" s="138">
        <f t="shared" si="3"/>
        <v>0</v>
      </c>
      <c r="Q66" s="138">
        <f t="shared" si="3"/>
        <v>0</v>
      </c>
      <c r="R66" s="138">
        <f t="shared" si="3"/>
        <v>0</v>
      </c>
    </row>
    <row r="67" spans="1:18" x14ac:dyDescent="0.25">
      <c r="A67" s="602" t="s">
        <v>33</v>
      </c>
      <c r="B67" s="603"/>
      <c r="C67" s="103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</row>
    <row r="68" spans="1:18" x14ac:dyDescent="0.25">
      <c r="A68" s="604" t="s">
        <v>8</v>
      </c>
      <c r="B68" s="605"/>
      <c r="C68" s="139">
        <f t="shared" ref="C68:C80" si="4">SUM(D68:R68)</f>
        <v>19242</v>
      </c>
      <c r="D68" s="140">
        <v>0</v>
      </c>
      <c r="E68" s="140">
        <v>9375</v>
      </c>
      <c r="F68" s="130">
        <v>5858</v>
      </c>
      <c r="G68" s="130">
        <v>1395</v>
      </c>
      <c r="H68" s="187">
        <v>2614</v>
      </c>
      <c r="I68" s="187">
        <v>0</v>
      </c>
      <c r="J68" s="192">
        <v>0</v>
      </c>
      <c r="K68" s="192"/>
      <c r="L68" s="141"/>
      <c r="M68" s="141"/>
      <c r="N68" s="141"/>
      <c r="O68" s="141"/>
      <c r="P68" s="141"/>
      <c r="Q68" s="141"/>
      <c r="R68" s="141"/>
    </row>
    <row r="69" spans="1:18" x14ac:dyDescent="0.25">
      <c r="A69" s="590" t="s">
        <v>9</v>
      </c>
      <c r="B69" s="591"/>
      <c r="C69" s="139">
        <f t="shared" si="4"/>
        <v>8914</v>
      </c>
      <c r="D69" s="129">
        <v>0</v>
      </c>
      <c r="E69" s="129">
        <v>0</v>
      </c>
      <c r="F69" s="130">
        <v>6692</v>
      </c>
      <c r="G69" s="130">
        <v>1155</v>
      </c>
      <c r="H69" s="188">
        <v>1067</v>
      </c>
      <c r="I69" s="188">
        <v>0</v>
      </c>
      <c r="J69" s="193">
        <v>0</v>
      </c>
      <c r="K69" s="193"/>
      <c r="L69" s="131"/>
      <c r="M69" s="131"/>
      <c r="N69" s="131"/>
      <c r="O69" s="131"/>
      <c r="P69" s="131"/>
      <c r="Q69" s="131"/>
      <c r="R69" s="131"/>
    </row>
    <row r="70" spans="1:18" x14ac:dyDescent="0.25">
      <c r="A70" s="590" t="s">
        <v>10</v>
      </c>
      <c r="B70" s="591"/>
      <c r="C70" s="139">
        <f t="shared" si="4"/>
        <v>5676.8099999999995</v>
      </c>
      <c r="D70" s="129">
        <v>0</v>
      </c>
      <c r="E70" s="129">
        <v>0</v>
      </c>
      <c r="F70" s="130">
        <v>1637.81</v>
      </c>
      <c r="G70" s="130">
        <v>931</v>
      </c>
      <c r="H70" s="188">
        <v>2109</v>
      </c>
      <c r="I70" s="188">
        <v>999</v>
      </c>
      <c r="J70" s="193">
        <v>0</v>
      </c>
      <c r="K70" s="193">
        <v>0</v>
      </c>
      <c r="L70" s="131"/>
      <c r="M70" s="131"/>
      <c r="N70" s="131"/>
      <c r="O70" s="131"/>
      <c r="P70" s="131"/>
      <c r="Q70" s="131"/>
      <c r="R70" s="131"/>
    </row>
    <row r="71" spans="1:18" x14ac:dyDescent="0.25">
      <c r="A71" s="590" t="s">
        <v>17</v>
      </c>
      <c r="B71" s="591"/>
      <c r="C71" s="139">
        <f t="shared" si="4"/>
        <v>0</v>
      </c>
      <c r="D71" s="129"/>
      <c r="E71" s="129"/>
      <c r="F71" s="133">
        <v>0</v>
      </c>
      <c r="G71" s="130">
        <v>0</v>
      </c>
      <c r="H71" s="188">
        <v>0</v>
      </c>
      <c r="I71" s="188">
        <v>0</v>
      </c>
      <c r="J71" s="193">
        <v>0</v>
      </c>
      <c r="K71" s="193"/>
      <c r="L71" s="131"/>
      <c r="M71" s="131"/>
      <c r="N71" s="131"/>
      <c r="O71" s="131"/>
      <c r="P71" s="131"/>
      <c r="Q71" s="131"/>
      <c r="R71" s="131"/>
    </row>
    <row r="72" spans="1:18" x14ac:dyDescent="0.25">
      <c r="A72" s="590" t="s">
        <v>11</v>
      </c>
      <c r="B72" s="591"/>
      <c r="C72" s="139">
        <f t="shared" si="4"/>
        <v>0</v>
      </c>
      <c r="D72" s="129">
        <v>0</v>
      </c>
      <c r="E72" s="129">
        <v>0</v>
      </c>
      <c r="F72" s="133">
        <v>0</v>
      </c>
      <c r="G72" s="130">
        <v>0</v>
      </c>
      <c r="H72" s="188">
        <v>0</v>
      </c>
      <c r="I72" s="188">
        <v>0</v>
      </c>
      <c r="J72" s="193">
        <v>0</v>
      </c>
      <c r="K72" s="193"/>
      <c r="L72" s="131"/>
      <c r="M72" s="131"/>
      <c r="N72" s="131"/>
      <c r="O72" s="131"/>
      <c r="P72" s="131"/>
      <c r="Q72" s="131"/>
      <c r="R72" s="131"/>
    </row>
    <row r="73" spans="1:18" x14ac:dyDescent="0.25">
      <c r="A73" s="590" t="s">
        <v>18</v>
      </c>
      <c r="B73" s="591"/>
      <c r="C73" s="139">
        <f t="shared" si="4"/>
        <v>0</v>
      </c>
      <c r="D73" s="129">
        <v>0</v>
      </c>
      <c r="E73" s="129">
        <v>0</v>
      </c>
      <c r="F73" s="133">
        <v>0</v>
      </c>
      <c r="G73" s="130">
        <v>0</v>
      </c>
      <c r="H73" s="188">
        <v>0</v>
      </c>
      <c r="I73" s="188">
        <v>0</v>
      </c>
      <c r="J73" s="193">
        <v>0</v>
      </c>
      <c r="K73" s="193"/>
      <c r="L73" s="131"/>
      <c r="M73" s="131"/>
      <c r="N73" s="131"/>
      <c r="O73" s="131"/>
      <c r="P73" s="131"/>
      <c r="Q73" s="131"/>
      <c r="R73" s="131"/>
    </row>
    <row r="74" spans="1:18" x14ac:dyDescent="0.25">
      <c r="A74" s="590" t="s">
        <v>19</v>
      </c>
      <c r="B74" s="591"/>
      <c r="C74" s="139">
        <f t="shared" si="4"/>
        <v>0</v>
      </c>
      <c r="D74" s="129">
        <v>0</v>
      </c>
      <c r="E74" s="129">
        <v>0</v>
      </c>
      <c r="F74" s="133">
        <v>0</v>
      </c>
      <c r="G74" s="130">
        <v>0</v>
      </c>
      <c r="H74" s="188">
        <v>0</v>
      </c>
      <c r="I74" s="188">
        <v>0</v>
      </c>
      <c r="J74" s="193">
        <v>0</v>
      </c>
      <c r="K74" s="193"/>
      <c r="L74" s="131"/>
      <c r="M74" s="131"/>
      <c r="N74" s="131"/>
      <c r="O74" s="131"/>
      <c r="P74" s="131"/>
      <c r="Q74" s="131"/>
      <c r="R74" s="131"/>
    </row>
    <row r="75" spans="1:18" x14ac:dyDescent="0.25">
      <c r="A75" s="590" t="s">
        <v>20</v>
      </c>
      <c r="B75" s="591"/>
      <c r="C75" s="139">
        <f t="shared" si="4"/>
        <v>0</v>
      </c>
      <c r="D75" s="129">
        <v>0</v>
      </c>
      <c r="E75" s="129">
        <v>0</v>
      </c>
      <c r="F75" s="133">
        <v>0</v>
      </c>
      <c r="G75" s="130">
        <v>0</v>
      </c>
      <c r="H75" s="188">
        <v>0</v>
      </c>
      <c r="I75" s="188">
        <v>0</v>
      </c>
      <c r="J75" s="193">
        <v>0</v>
      </c>
      <c r="K75" s="193"/>
      <c r="L75" s="131"/>
      <c r="M75" s="131"/>
      <c r="N75" s="131"/>
      <c r="O75" s="131"/>
      <c r="P75" s="131"/>
      <c r="Q75" s="131"/>
      <c r="R75" s="131"/>
    </row>
    <row r="76" spans="1:18" x14ac:dyDescent="0.25">
      <c r="A76" s="590" t="s">
        <v>21</v>
      </c>
      <c r="B76" s="591"/>
      <c r="C76" s="139">
        <f t="shared" si="4"/>
        <v>0</v>
      </c>
      <c r="D76" s="129">
        <v>0</v>
      </c>
      <c r="E76" s="129">
        <v>0</v>
      </c>
      <c r="F76" s="133">
        <v>0</v>
      </c>
      <c r="G76" s="130">
        <v>0</v>
      </c>
      <c r="H76" s="188">
        <v>0</v>
      </c>
      <c r="I76" s="188">
        <v>0</v>
      </c>
      <c r="J76" s="193">
        <v>0</v>
      </c>
      <c r="K76" s="193"/>
      <c r="L76" s="131"/>
      <c r="M76" s="131"/>
      <c r="N76" s="131"/>
      <c r="O76" s="131"/>
      <c r="P76" s="131"/>
      <c r="Q76" s="131"/>
      <c r="R76" s="131"/>
    </row>
    <row r="77" spans="1:18" x14ac:dyDescent="0.25">
      <c r="A77" s="590" t="s">
        <v>12</v>
      </c>
      <c r="B77" s="591"/>
      <c r="C77" s="139">
        <f t="shared" si="4"/>
        <v>4288</v>
      </c>
      <c r="D77" s="129">
        <v>0</v>
      </c>
      <c r="E77" s="129">
        <v>0</v>
      </c>
      <c r="F77" s="130">
        <v>0</v>
      </c>
      <c r="G77" s="130">
        <v>2981</v>
      </c>
      <c r="H77" s="188">
        <v>0</v>
      </c>
      <c r="I77" s="188">
        <v>0</v>
      </c>
      <c r="J77" s="193">
        <v>0</v>
      </c>
      <c r="K77" s="193">
        <v>1307</v>
      </c>
      <c r="L77" s="131"/>
      <c r="M77" s="131"/>
      <c r="N77" s="131"/>
      <c r="O77" s="131"/>
      <c r="P77" s="131"/>
      <c r="Q77" s="131"/>
      <c r="R77" s="131"/>
    </row>
    <row r="78" spans="1:18" x14ac:dyDescent="0.25">
      <c r="A78" s="590" t="s">
        <v>13</v>
      </c>
      <c r="B78" s="591"/>
      <c r="C78" s="139">
        <f t="shared" si="4"/>
        <v>335</v>
      </c>
      <c r="D78" s="129">
        <v>0</v>
      </c>
      <c r="E78" s="129">
        <v>0</v>
      </c>
      <c r="F78" s="133">
        <v>0</v>
      </c>
      <c r="G78" s="130">
        <v>10199</v>
      </c>
      <c r="H78" s="188">
        <v>-9864</v>
      </c>
      <c r="I78" s="188">
        <v>0</v>
      </c>
      <c r="J78" s="193">
        <v>0</v>
      </c>
      <c r="K78" s="193">
        <v>0</v>
      </c>
      <c r="L78" s="131"/>
      <c r="M78" s="131"/>
      <c r="N78" s="131"/>
      <c r="O78" s="131"/>
      <c r="P78" s="131"/>
      <c r="Q78" s="131"/>
      <c r="R78" s="131"/>
    </row>
    <row r="79" spans="1:18" x14ac:dyDescent="0.25">
      <c r="A79" s="590" t="s">
        <v>14</v>
      </c>
      <c r="B79" s="591"/>
      <c r="C79" s="139">
        <f t="shared" si="4"/>
        <v>0</v>
      </c>
      <c r="D79" s="129">
        <v>0</v>
      </c>
      <c r="E79" s="129">
        <v>0</v>
      </c>
      <c r="F79" s="133">
        <v>0</v>
      </c>
      <c r="G79" s="130">
        <v>0</v>
      </c>
      <c r="H79" s="188">
        <v>0</v>
      </c>
      <c r="I79" s="188">
        <v>0</v>
      </c>
      <c r="J79" s="193">
        <v>0</v>
      </c>
      <c r="K79" s="193"/>
      <c r="L79" s="131"/>
      <c r="M79" s="131"/>
      <c r="N79" s="131"/>
      <c r="O79" s="131"/>
      <c r="P79" s="131"/>
      <c r="Q79" s="131"/>
      <c r="R79" s="131"/>
    </row>
    <row r="80" spans="1:18" x14ac:dyDescent="0.25">
      <c r="A80" s="590" t="s">
        <v>22</v>
      </c>
      <c r="B80" s="591"/>
      <c r="C80" s="139">
        <f t="shared" si="4"/>
        <v>13625</v>
      </c>
      <c r="D80" s="129">
        <v>0</v>
      </c>
      <c r="E80" s="142"/>
      <c r="F80" s="133">
        <v>0</v>
      </c>
      <c r="G80" s="130">
        <v>0</v>
      </c>
      <c r="H80" s="188">
        <v>0</v>
      </c>
      <c r="I80" s="188">
        <v>3757</v>
      </c>
      <c r="J80" s="193">
        <v>4992</v>
      </c>
      <c r="K80" s="193">
        <v>4876</v>
      </c>
      <c r="L80" s="131"/>
      <c r="M80" s="131"/>
      <c r="N80" s="131"/>
      <c r="O80" s="131"/>
      <c r="P80" s="131"/>
      <c r="Q80" s="131"/>
      <c r="R80" s="131"/>
    </row>
    <row r="81" spans="1:18" x14ac:dyDescent="0.25">
      <c r="A81" s="606" t="s">
        <v>87</v>
      </c>
      <c r="B81" s="607"/>
      <c r="C81" s="143">
        <f>SUM(C68:C80)</f>
        <v>52080.81</v>
      </c>
      <c r="D81" s="144">
        <f>SUM(D68:D80)</f>
        <v>0</v>
      </c>
      <c r="E81" s="144">
        <f t="shared" ref="E81:R81" si="5">SUM(E68:E80)</f>
        <v>9375</v>
      </c>
      <c r="F81" s="144">
        <f t="shared" si="5"/>
        <v>14187.81</v>
      </c>
      <c r="G81" s="144">
        <f t="shared" si="5"/>
        <v>16661</v>
      </c>
      <c r="H81" s="144">
        <f t="shared" si="5"/>
        <v>-4074</v>
      </c>
      <c r="I81" s="144">
        <f t="shared" si="5"/>
        <v>4756</v>
      </c>
      <c r="J81" s="144">
        <f t="shared" si="5"/>
        <v>4992</v>
      </c>
      <c r="K81" s="144">
        <v>6183</v>
      </c>
      <c r="L81" s="144">
        <f t="shared" si="5"/>
        <v>0</v>
      </c>
      <c r="M81" s="144">
        <f t="shared" si="5"/>
        <v>0</v>
      </c>
      <c r="N81" s="144">
        <f t="shared" si="5"/>
        <v>0</v>
      </c>
      <c r="O81" s="144">
        <f t="shared" si="5"/>
        <v>0</v>
      </c>
      <c r="P81" s="144">
        <f t="shared" si="5"/>
        <v>0</v>
      </c>
      <c r="Q81" s="144">
        <f t="shared" si="5"/>
        <v>0</v>
      </c>
      <c r="R81" s="144">
        <f t="shared" si="5"/>
        <v>0</v>
      </c>
    </row>
    <row r="82" spans="1:18" x14ac:dyDescent="0.25">
      <c r="A82" s="608" t="s">
        <v>35</v>
      </c>
      <c r="B82" s="609"/>
      <c r="C82" s="128">
        <f>SUM(D82:R82)</f>
        <v>231382.76</v>
      </c>
      <c r="D82" s="145">
        <f>SUM(D66,D81)</f>
        <v>0</v>
      </c>
      <c r="E82" s="145">
        <f t="shared" ref="E82:R82" si="6">SUM(E66,E81)</f>
        <v>17566</v>
      </c>
      <c r="F82" s="145">
        <f t="shared" si="6"/>
        <v>33695.81</v>
      </c>
      <c r="G82" s="145">
        <f t="shared" si="6"/>
        <v>38101</v>
      </c>
      <c r="H82" s="145">
        <f t="shared" si="6"/>
        <v>43486</v>
      </c>
      <c r="I82" s="145">
        <f t="shared" si="6"/>
        <v>38590</v>
      </c>
      <c r="J82" s="145">
        <f t="shared" si="6"/>
        <v>21228.5</v>
      </c>
      <c r="K82" s="145">
        <f t="shared" si="6"/>
        <v>38715.449999999997</v>
      </c>
      <c r="L82" s="145">
        <f t="shared" si="6"/>
        <v>0</v>
      </c>
      <c r="M82" s="145">
        <f t="shared" si="6"/>
        <v>0</v>
      </c>
      <c r="N82" s="145">
        <f t="shared" si="6"/>
        <v>0</v>
      </c>
      <c r="O82" s="145">
        <f t="shared" si="6"/>
        <v>0</v>
      </c>
      <c r="P82" s="145">
        <f t="shared" si="6"/>
        <v>0</v>
      </c>
      <c r="Q82" s="145">
        <f t="shared" si="6"/>
        <v>0</v>
      </c>
      <c r="R82" s="145">
        <f t="shared" si="6"/>
        <v>0</v>
      </c>
    </row>
    <row r="83" spans="1:18" x14ac:dyDescent="0.25">
      <c r="A83" t="s">
        <v>168</v>
      </c>
      <c r="D83" t="s">
        <v>169</v>
      </c>
      <c r="E83" t="s">
        <v>169</v>
      </c>
      <c r="F83" t="s">
        <v>169</v>
      </c>
      <c r="G83" t="s">
        <v>169</v>
      </c>
      <c r="H83" t="s">
        <v>169</v>
      </c>
      <c r="I83" t="s">
        <v>169</v>
      </c>
      <c r="J83" t="s">
        <v>169</v>
      </c>
    </row>
    <row r="84" spans="1:18" x14ac:dyDescent="0.25">
      <c r="A84" t="s">
        <v>97</v>
      </c>
      <c r="H84" s="196">
        <v>44771</v>
      </c>
      <c r="J84" s="196">
        <v>44952</v>
      </c>
    </row>
    <row r="85" spans="1:18" x14ac:dyDescent="0.25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25"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</row>
    <row r="100" spans="3:7" x14ac:dyDescent="0.25">
      <c r="C100" s="132"/>
      <c r="D100" s="132"/>
      <c r="E100" s="132"/>
      <c r="F100" s="132"/>
      <c r="G100" s="132"/>
    </row>
  </sheetData>
  <mergeCells count="62">
    <mergeCell ref="A82:B82"/>
    <mergeCell ref="A75:B75"/>
    <mergeCell ref="A76:B76"/>
    <mergeCell ref="A77:B77"/>
    <mergeCell ref="A78:B78"/>
    <mergeCell ref="A79:B79"/>
    <mergeCell ref="A80:B80"/>
    <mergeCell ref="A66:B66"/>
    <mergeCell ref="A67:B67"/>
    <mergeCell ref="A81:B81"/>
    <mergeCell ref="A69:B69"/>
    <mergeCell ref="A70:B70"/>
    <mergeCell ref="A71:B71"/>
    <mergeCell ref="A72:B72"/>
    <mergeCell ref="A73:B73"/>
    <mergeCell ref="A74:B74"/>
    <mergeCell ref="A68:B68"/>
    <mergeCell ref="A63:B63"/>
    <mergeCell ref="A64:B64"/>
    <mergeCell ref="A51:R51"/>
    <mergeCell ref="A52:B52"/>
    <mergeCell ref="A53:B53"/>
    <mergeCell ref="A54:B54"/>
    <mergeCell ref="A55:B55"/>
    <mergeCell ref="A62:B62"/>
    <mergeCell ref="A56:B56"/>
    <mergeCell ref="A57:B57"/>
    <mergeCell ref="A58:B58"/>
    <mergeCell ref="A65:B65"/>
    <mergeCell ref="A50:B50"/>
    <mergeCell ref="A20:B20"/>
    <mergeCell ref="A21:B21"/>
    <mergeCell ref="A22:B22"/>
    <mergeCell ref="A23:B23"/>
    <mergeCell ref="A37:B37"/>
    <mergeCell ref="A44:R44"/>
    <mergeCell ref="A45:B45"/>
    <mergeCell ref="A46:B46"/>
    <mergeCell ref="A47:B47"/>
    <mergeCell ref="A48:B48"/>
    <mergeCell ref="A49:B49"/>
    <mergeCell ref="A59:B59"/>
    <mergeCell ref="A60:B60"/>
    <mergeCell ref="A61:B61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1:R1"/>
    <mergeCell ref="A2:R2"/>
    <mergeCell ref="A4:B4"/>
    <mergeCell ref="A5:R5"/>
    <mergeCell ref="A6:B6"/>
  </mergeCells>
  <pageMargins left="0.7" right="0.7" top="0.75" bottom="0.75" header="0.3" footer="0.3"/>
  <pageSetup orientation="portrait" horizontalDpi="204" verticalDpi="1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1E0D-7820-4ACE-B9D4-0119821402E8}">
  <sheetPr>
    <tabColor rgb="FF0070C0"/>
  </sheetPr>
  <dimension ref="A1:R84"/>
  <sheetViews>
    <sheetView zoomScaleNormal="100" workbookViewId="0">
      <pane ySplit="4" topLeftCell="A34" activePane="bottomLeft" state="frozen"/>
      <selection activeCell="V3" sqref="V3"/>
      <selection pane="bottomLeft" activeCell="D7" sqref="D7"/>
    </sheetView>
  </sheetViews>
  <sheetFormatPr defaultRowHeight="15" x14ac:dyDescent="0.25"/>
  <cols>
    <col min="3" max="3" width="10.28515625" customWidth="1"/>
    <col min="4" max="5" width="9.28515625" bestFit="1" customWidth="1"/>
    <col min="10" max="10" width="10" customWidth="1"/>
    <col min="13" max="16" width="9.140625" customWidth="1"/>
  </cols>
  <sheetData>
    <row r="1" spans="1:18" ht="33.75" x14ac:dyDescent="0.5">
      <c r="A1" s="621" t="s">
        <v>268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</row>
    <row r="2" spans="1:18" ht="15.75" thickBot="1" x14ac:dyDescent="0.3">
      <c r="A2" s="622" t="s">
        <v>80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</row>
    <row r="3" spans="1:18" ht="21.75" thickBot="1" x14ac:dyDescent="0.4">
      <c r="A3" s="58"/>
      <c r="B3" s="56"/>
      <c r="C3" s="59" t="s">
        <v>81</v>
      </c>
      <c r="D3" s="72">
        <v>2021</v>
      </c>
      <c r="E3" s="57"/>
      <c r="F3" s="63"/>
      <c r="G3" s="73">
        <v>2022</v>
      </c>
      <c r="H3" s="66"/>
      <c r="I3" s="66"/>
      <c r="J3" s="67"/>
      <c r="K3" s="74">
        <v>2023</v>
      </c>
      <c r="L3" s="68"/>
      <c r="M3" s="68"/>
      <c r="N3" s="69"/>
      <c r="O3" s="75">
        <v>2024</v>
      </c>
      <c r="P3" s="70"/>
      <c r="Q3" s="70"/>
      <c r="R3" s="71"/>
    </row>
    <row r="4" spans="1:18" ht="15.75" thickBot="1" x14ac:dyDescent="0.3">
      <c r="A4" s="567" t="s">
        <v>15</v>
      </c>
      <c r="B4" s="568"/>
      <c r="C4" s="55" t="s">
        <v>83</v>
      </c>
      <c r="D4" s="64" t="s">
        <v>76</v>
      </c>
      <c r="E4" s="60" t="s">
        <v>77</v>
      </c>
      <c r="F4" s="65" t="s">
        <v>78</v>
      </c>
      <c r="G4" s="64" t="s">
        <v>76</v>
      </c>
      <c r="H4" s="60" t="s">
        <v>77</v>
      </c>
      <c r="I4" s="61" t="s">
        <v>78</v>
      </c>
      <c r="J4" s="62" t="s">
        <v>79</v>
      </c>
      <c r="K4" s="64" t="s">
        <v>76</v>
      </c>
      <c r="L4" s="60" t="s">
        <v>77</v>
      </c>
      <c r="M4" s="61" t="s">
        <v>78</v>
      </c>
      <c r="N4" s="62" t="s">
        <v>79</v>
      </c>
      <c r="O4" s="64" t="s">
        <v>76</v>
      </c>
      <c r="P4" s="60" t="s">
        <v>77</v>
      </c>
      <c r="Q4" s="61" t="s">
        <v>78</v>
      </c>
      <c r="R4" s="62" t="s">
        <v>79</v>
      </c>
    </row>
    <row r="5" spans="1:18" ht="16.5" thickBot="1" x14ac:dyDescent="0.3">
      <c r="A5" s="569" t="s">
        <v>86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0"/>
      <c r="R5" s="571"/>
    </row>
    <row r="6" spans="1:18" ht="16.5" thickBot="1" x14ac:dyDescent="0.3">
      <c r="A6" s="572" t="s">
        <v>38</v>
      </c>
      <c r="B6" s="573"/>
      <c r="C6" s="127" t="s">
        <v>92</v>
      </c>
      <c r="D6" s="105"/>
      <c r="E6" s="105"/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 x14ac:dyDescent="0.25">
      <c r="A7" s="576" t="s">
        <v>39</v>
      </c>
      <c r="B7" s="577"/>
      <c r="C7" s="99">
        <f>SUM(D7:R7)</f>
        <v>2</v>
      </c>
      <c r="D7" s="116">
        <v>2</v>
      </c>
      <c r="E7" s="116"/>
      <c r="F7" s="116"/>
      <c r="G7" s="40"/>
      <c r="H7" s="185"/>
      <c r="I7" s="248"/>
      <c r="J7" s="185"/>
      <c r="K7" s="185"/>
      <c r="L7" s="185"/>
      <c r="M7" s="78"/>
      <c r="N7" s="78"/>
      <c r="O7" s="78"/>
      <c r="P7" s="78"/>
      <c r="Q7" s="78"/>
      <c r="R7" s="78"/>
    </row>
    <row r="8" spans="1:18" x14ac:dyDescent="0.25">
      <c r="A8" s="578" t="s">
        <v>40</v>
      </c>
      <c r="B8" s="579"/>
      <c r="C8" s="100">
        <f>SUM(D8:R8)</f>
        <v>0</v>
      </c>
      <c r="D8" s="116"/>
      <c r="E8" s="116"/>
      <c r="F8" s="116"/>
      <c r="G8" s="41"/>
      <c r="H8" s="185"/>
      <c r="I8" s="248"/>
      <c r="J8" s="185"/>
      <c r="K8" s="185"/>
      <c r="L8" s="185"/>
      <c r="M8" s="78"/>
      <c r="N8" s="78"/>
      <c r="O8" s="78"/>
      <c r="P8" s="78"/>
      <c r="Q8" s="78"/>
      <c r="R8" s="78"/>
    </row>
    <row r="9" spans="1:18" ht="15.75" thickBot="1" x14ac:dyDescent="0.3">
      <c r="A9" s="574" t="s">
        <v>41</v>
      </c>
      <c r="B9" s="575"/>
      <c r="C9" s="100">
        <f>SUM(D9:R9)</f>
        <v>0</v>
      </c>
      <c r="D9" s="116"/>
      <c r="E9" s="116"/>
      <c r="F9" s="116"/>
      <c r="G9" s="42"/>
      <c r="H9" s="185"/>
      <c r="I9" s="248"/>
      <c r="J9" s="185"/>
      <c r="K9" s="185"/>
      <c r="L9" s="185"/>
      <c r="M9" s="78"/>
      <c r="N9" s="78"/>
      <c r="O9" s="78"/>
      <c r="P9" s="78"/>
      <c r="Q9" s="78"/>
      <c r="R9" s="78"/>
    </row>
    <row r="10" spans="1:18" ht="16.5" thickBot="1" x14ac:dyDescent="0.3">
      <c r="A10" s="572" t="s">
        <v>42</v>
      </c>
      <c r="B10" s="580"/>
      <c r="C10" s="108"/>
      <c r="D10" s="109"/>
      <c r="E10" s="109"/>
      <c r="F10" s="109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</row>
    <row r="11" spans="1:18" x14ac:dyDescent="0.25">
      <c r="A11" s="576" t="s">
        <v>43</v>
      </c>
      <c r="B11" s="577"/>
      <c r="C11" s="100">
        <f>SUM(D11:R11)</f>
        <v>0</v>
      </c>
      <c r="D11" s="116"/>
      <c r="E11" s="116"/>
      <c r="F11" s="40"/>
      <c r="G11" s="40"/>
      <c r="H11" s="185"/>
      <c r="I11" s="248"/>
      <c r="J11" s="185"/>
      <c r="K11" s="185"/>
      <c r="L11" s="185"/>
      <c r="M11" s="78"/>
      <c r="N11" s="78"/>
      <c r="O11" s="78"/>
      <c r="P11" s="78"/>
      <c r="Q11" s="78"/>
      <c r="R11" s="78"/>
    </row>
    <row r="12" spans="1:18" x14ac:dyDescent="0.25">
      <c r="A12" s="578" t="s">
        <v>44</v>
      </c>
      <c r="B12" s="579"/>
      <c r="C12" s="100">
        <f>SUM(D12:R12)</f>
        <v>0</v>
      </c>
      <c r="D12" s="116"/>
      <c r="E12" s="116"/>
      <c r="F12" s="41"/>
      <c r="G12" s="41"/>
      <c r="H12" s="185"/>
      <c r="I12" s="248"/>
      <c r="J12" s="185"/>
      <c r="K12" s="185"/>
      <c r="L12" s="185"/>
      <c r="M12" s="78"/>
      <c r="N12" s="78"/>
      <c r="O12" s="78"/>
      <c r="P12" s="78"/>
      <c r="Q12" s="78"/>
      <c r="R12" s="78"/>
    </row>
    <row r="13" spans="1:18" x14ac:dyDescent="0.25">
      <c r="A13" s="578" t="s">
        <v>45</v>
      </c>
      <c r="B13" s="579"/>
      <c r="C13" s="100">
        <f>SUM(D13:R13)</f>
        <v>0</v>
      </c>
      <c r="D13" s="116"/>
      <c r="E13" s="116"/>
      <c r="F13" s="41"/>
      <c r="G13" s="41"/>
      <c r="H13" s="185"/>
      <c r="I13" s="248"/>
      <c r="J13" s="185"/>
      <c r="K13" s="185"/>
      <c r="L13" s="185"/>
      <c r="M13" s="78"/>
      <c r="N13" s="78"/>
      <c r="O13" s="78"/>
      <c r="P13" s="78"/>
      <c r="Q13" s="78"/>
      <c r="R13" s="78"/>
    </row>
    <row r="14" spans="1:18" ht="15.75" thickBot="1" x14ac:dyDescent="0.3">
      <c r="A14" s="574" t="s">
        <v>46</v>
      </c>
      <c r="B14" s="575"/>
      <c r="C14" s="102">
        <f>SUM(D14:R14)</f>
        <v>0</v>
      </c>
      <c r="D14" s="116"/>
      <c r="E14" s="116"/>
      <c r="F14" s="42"/>
      <c r="G14" s="42"/>
      <c r="H14" s="185"/>
      <c r="I14" s="248"/>
      <c r="J14" s="185"/>
      <c r="K14" s="185"/>
      <c r="L14" s="185"/>
      <c r="M14" s="78"/>
      <c r="N14" s="78"/>
      <c r="O14" s="78"/>
      <c r="P14" s="78"/>
      <c r="Q14" s="78"/>
      <c r="R14" s="78"/>
    </row>
    <row r="15" spans="1:18" ht="16.5" thickBot="1" x14ac:dyDescent="0.3">
      <c r="A15" s="572" t="s">
        <v>47</v>
      </c>
      <c r="B15" s="580"/>
      <c r="C15" s="108"/>
      <c r="D15" s="109"/>
      <c r="E15" s="109"/>
      <c r="F15" s="109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spans="1:18" x14ac:dyDescent="0.25">
      <c r="A16" s="576" t="s">
        <v>48</v>
      </c>
      <c r="B16" s="577"/>
      <c r="C16" s="100">
        <f>SUM(D16:R16)</f>
        <v>0</v>
      </c>
      <c r="D16" s="116"/>
      <c r="E16" s="116"/>
      <c r="F16" s="40"/>
      <c r="G16" s="40"/>
      <c r="H16" s="185"/>
      <c r="I16" s="248"/>
      <c r="J16" s="185"/>
      <c r="K16" s="185"/>
      <c r="L16" s="185"/>
      <c r="M16" s="78"/>
      <c r="N16" s="78"/>
      <c r="O16" s="78"/>
      <c r="P16" s="78"/>
      <c r="Q16" s="78"/>
      <c r="R16" s="78"/>
    </row>
    <row r="17" spans="1:18" x14ac:dyDescent="0.25">
      <c r="A17" s="578" t="s">
        <v>49</v>
      </c>
      <c r="B17" s="579"/>
      <c r="C17" s="100">
        <f>SUM(D17:R17)</f>
        <v>0</v>
      </c>
      <c r="D17" s="116"/>
      <c r="E17" s="116"/>
      <c r="F17" s="41"/>
      <c r="G17" s="41"/>
      <c r="H17" s="185"/>
      <c r="I17" s="248"/>
      <c r="J17" s="185"/>
      <c r="K17" s="185"/>
      <c r="L17" s="185"/>
      <c r="M17" s="78"/>
      <c r="N17" s="78"/>
      <c r="O17" s="78"/>
      <c r="P17" s="78"/>
      <c r="Q17" s="78"/>
      <c r="R17" s="78"/>
    </row>
    <row r="18" spans="1:18" ht="15.75" thickBot="1" x14ac:dyDescent="0.3">
      <c r="A18" s="574" t="s">
        <v>41</v>
      </c>
      <c r="B18" s="575"/>
      <c r="C18" s="100">
        <f>SUM(D18:R18)</f>
        <v>0</v>
      </c>
      <c r="D18" s="116"/>
      <c r="E18" s="116"/>
      <c r="F18" s="42"/>
      <c r="G18" s="42"/>
      <c r="H18" s="185"/>
      <c r="I18" s="248"/>
      <c r="J18" s="185"/>
      <c r="K18" s="185"/>
      <c r="L18" s="185"/>
      <c r="M18" s="78"/>
      <c r="N18" s="78"/>
      <c r="O18" s="78"/>
      <c r="P18" s="78"/>
      <c r="Q18" s="78"/>
      <c r="R18" s="78"/>
    </row>
    <row r="19" spans="1:18" ht="16.5" thickBot="1" x14ac:dyDescent="0.3">
      <c r="A19" s="572" t="s">
        <v>50</v>
      </c>
      <c r="B19" s="580"/>
      <c r="C19" s="108"/>
      <c r="D19" s="109"/>
      <c r="E19" s="109"/>
      <c r="F19" s="109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x14ac:dyDescent="0.25">
      <c r="A20" s="576" t="s">
        <v>48</v>
      </c>
      <c r="B20" s="577"/>
      <c r="C20" s="100">
        <f>SUM(D20:R20)</f>
        <v>0</v>
      </c>
      <c r="D20" s="116"/>
      <c r="E20" s="116"/>
      <c r="F20" s="40"/>
      <c r="G20" s="40"/>
      <c r="H20" s="185"/>
      <c r="I20" s="248"/>
      <c r="J20" s="185"/>
      <c r="K20" s="185"/>
      <c r="L20" s="185"/>
      <c r="M20" s="78"/>
      <c r="N20" s="78"/>
      <c r="O20" s="78"/>
      <c r="P20" s="78"/>
      <c r="Q20" s="78"/>
      <c r="R20" s="78"/>
    </row>
    <row r="21" spans="1:18" x14ac:dyDescent="0.25">
      <c r="A21" s="579" t="s">
        <v>49</v>
      </c>
      <c r="B21" s="579"/>
      <c r="C21" s="100">
        <f>SUM(D21:R21)</f>
        <v>0</v>
      </c>
      <c r="D21" s="116"/>
      <c r="E21" s="116"/>
      <c r="F21" s="41"/>
      <c r="G21" s="41"/>
      <c r="H21" s="185"/>
      <c r="I21" s="248"/>
      <c r="J21" s="185"/>
      <c r="K21" s="185"/>
      <c r="L21" s="185"/>
      <c r="M21" s="78"/>
      <c r="N21" s="78"/>
      <c r="O21" s="78"/>
      <c r="P21" s="78"/>
      <c r="Q21" s="78"/>
      <c r="R21" s="78"/>
    </row>
    <row r="22" spans="1:18" ht="15.75" thickBot="1" x14ac:dyDescent="0.3">
      <c r="A22" s="574" t="s">
        <v>41</v>
      </c>
      <c r="B22" s="575"/>
      <c r="C22" s="100">
        <f>SUM(D22:R22)</f>
        <v>0</v>
      </c>
      <c r="D22" s="116"/>
      <c r="E22" s="116"/>
      <c r="F22" s="42"/>
      <c r="G22" s="42"/>
      <c r="H22" s="185"/>
      <c r="I22" s="248"/>
      <c r="J22" s="185"/>
      <c r="K22" s="185"/>
      <c r="L22" s="185"/>
      <c r="M22" s="78"/>
      <c r="N22" s="78"/>
      <c r="O22" s="78"/>
      <c r="P22" s="78"/>
      <c r="Q22" s="78"/>
      <c r="R22" s="78"/>
    </row>
    <row r="23" spans="1:18" ht="16.5" thickBot="1" x14ac:dyDescent="0.3">
      <c r="A23" s="572" t="s">
        <v>51</v>
      </c>
      <c r="B23" s="580"/>
      <c r="C23" s="108"/>
      <c r="D23" s="109"/>
      <c r="E23" s="109"/>
      <c r="F23" s="109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x14ac:dyDescent="0.25">
      <c r="A24" s="79" t="s">
        <v>48</v>
      </c>
      <c r="B24" s="80"/>
      <c r="C24" s="100">
        <f>SUM(D24:R24)</f>
        <v>0</v>
      </c>
      <c r="D24" s="116"/>
      <c r="E24" s="116"/>
      <c r="F24" s="40"/>
      <c r="G24" s="40"/>
      <c r="H24" s="185"/>
      <c r="I24" s="248"/>
      <c r="J24" s="185"/>
      <c r="K24" s="185"/>
      <c r="L24" s="185"/>
      <c r="M24" s="78"/>
      <c r="N24" s="78"/>
      <c r="O24" s="78"/>
      <c r="P24" s="78"/>
      <c r="Q24" s="78"/>
      <c r="R24" s="78"/>
    </row>
    <row r="25" spans="1:18" x14ac:dyDescent="0.25">
      <c r="A25" s="81" t="s">
        <v>49</v>
      </c>
      <c r="B25" s="82"/>
      <c r="C25" s="100">
        <f>SUM(D25:R25)</f>
        <v>0</v>
      </c>
      <c r="D25" s="116"/>
      <c r="E25" s="116"/>
      <c r="F25" s="41"/>
      <c r="G25" s="41"/>
      <c r="H25" s="185"/>
      <c r="I25" s="248"/>
      <c r="J25" s="185"/>
      <c r="K25" s="185"/>
      <c r="L25" s="185"/>
      <c r="M25" s="78"/>
      <c r="N25" s="78"/>
      <c r="O25" s="78"/>
      <c r="P25" s="78"/>
      <c r="Q25" s="78"/>
      <c r="R25" s="78"/>
    </row>
    <row r="26" spans="1:18" ht="15.75" thickBot="1" x14ac:dyDescent="0.3">
      <c r="A26" s="83" t="s">
        <v>41</v>
      </c>
      <c r="B26" s="84"/>
      <c r="C26" s="100">
        <f>SUM(D26:R26)</f>
        <v>0</v>
      </c>
      <c r="D26" s="116"/>
      <c r="E26" s="116"/>
      <c r="F26" s="42"/>
      <c r="G26" s="42"/>
      <c r="H26" s="185"/>
      <c r="I26" s="248"/>
      <c r="J26" s="185"/>
      <c r="K26" s="185"/>
      <c r="L26" s="185"/>
      <c r="M26" s="78"/>
      <c r="N26" s="78"/>
      <c r="O26" s="78"/>
      <c r="P26" s="78"/>
      <c r="Q26" s="78"/>
      <c r="R26" s="78"/>
    </row>
    <row r="27" spans="1:18" ht="16.5" thickBot="1" x14ac:dyDescent="0.3">
      <c r="A27" s="112" t="s">
        <v>52</v>
      </c>
      <c r="B27" s="111"/>
      <c r="C27" s="108"/>
      <c r="D27" s="109"/>
      <c r="E27" s="109"/>
      <c r="F27" s="109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spans="1:18" x14ac:dyDescent="0.25">
      <c r="A28" s="79" t="s">
        <v>48</v>
      </c>
      <c r="B28" s="80"/>
      <c r="C28" s="100">
        <f>SUM(D28:R28)</f>
        <v>0</v>
      </c>
      <c r="D28" s="116"/>
      <c r="E28" s="116"/>
      <c r="F28" s="40"/>
      <c r="G28" s="40"/>
      <c r="H28" s="185"/>
      <c r="I28" s="248"/>
      <c r="J28" s="185"/>
      <c r="K28" s="185"/>
      <c r="L28" s="185"/>
      <c r="M28" s="78"/>
      <c r="N28" s="78"/>
      <c r="O28" s="78"/>
      <c r="P28" s="78"/>
      <c r="Q28" s="78"/>
      <c r="R28" s="78"/>
    </row>
    <row r="29" spans="1:18" x14ac:dyDescent="0.25">
      <c r="A29" s="81" t="s">
        <v>49</v>
      </c>
      <c r="B29" s="82"/>
      <c r="C29" s="100">
        <f t="shared" ref="C29:C50" si="0">SUM(D29:R29)</f>
        <v>0</v>
      </c>
      <c r="D29" s="116"/>
      <c r="E29" s="116"/>
      <c r="F29" s="41"/>
      <c r="G29" s="41"/>
      <c r="H29" s="185"/>
      <c r="I29" s="248"/>
      <c r="J29" s="185"/>
      <c r="K29" s="185"/>
      <c r="L29" s="185"/>
      <c r="M29" s="78"/>
      <c r="N29" s="78"/>
      <c r="O29" s="78"/>
      <c r="P29" s="78"/>
      <c r="Q29" s="78"/>
      <c r="R29" s="78"/>
    </row>
    <row r="30" spans="1:18" x14ac:dyDescent="0.25">
      <c r="A30" s="85" t="s">
        <v>41</v>
      </c>
      <c r="B30" s="80"/>
      <c r="C30" s="100">
        <f t="shared" si="0"/>
        <v>0</v>
      </c>
      <c r="D30" s="116"/>
      <c r="E30" s="116"/>
      <c r="F30" s="41"/>
      <c r="G30" s="41"/>
      <c r="H30" s="185"/>
      <c r="I30" s="248"/>
      <c r="J30" s="185"/>
      <c r="K30" s="185"/>
      <c r="L30" s="185"/>
      <c r="M30" s="78"/>
      <c r="N30" s="78"/>
      <c r="O30" s="78"/>
      <c r="P30" s="78"/>
      <c r="Q30" s="78"/>
      <c r="R30" s="78"/>
    </row>
    <row r="31" spans="1:18" x14ac:dyDescent="0.25">
      <c r="A31" s="86" t="s">
        <v>53</v>
      </c>
      <c r="B31" s="87"/>
      <c r="C31" s="100">
        <f t="shared" si="0"/>
        <v>0</v>
      </c>
      <c r="D31" s="116"/>
      <c r="E31" s="116"/>
      <c r="F31" s="41"/>
      <c r="G31" s="41"/>
      <c r="H31" s="185"/>
      <c r="I31" s="248"/>
      <c r="J31" s="185"/>
      <c r="K31" s="185"/>
      <c r="L31" s="185"/>
      <c r="M31" s="78"/>
      <c r="N31" s="78"/>
      <c r="O31" s="78"/>
      <c r="P31" s="78"/>
      <c r="Q31" s="78"/>
      <c r="R31" s="78"/>
    </row>
    <row r="32" spans="1:18" x14ac:dyDescent="0.25">
      <c r="A32" s="86" t="s">
        <v>54</v>
      </c>
      <c r="B32" s="87"/>
      <c r="C32" s="100">
        <f t="shared" si="0"/>
        <v>0</v>
      </c>
      <c r="D32" s="116"/>
      <c r="E32" s="116"/>
      <c r="F32" s="41"/>
      <c r="G32" s="41"/>
      <c r="H32" s="185"/>
      <c r="I32" s="248"/>
      <c r="J32" s="185"/>
      <c r="K32" s="185"/>
      <c r="L32" s="185"/>
      <c r="M32" s="78"/>
      <c r="N32" s="78"/>
      <c r="O32" s="78"/>
      <c r="P32" s="78"/>
      <c r="Q32" s="78"/>
      <c r="R32" s="78"/>
    </row>
    <row r="33" spans="1:18" x14ac:dyDescent="0.25">
      <c r="A33" s="86" t="s">
        <v>55</v>
      </c>
      <c r="B33" s="87"/>
      <c r="C33" s="100">
        <f t="shared" si="0"/>
        <v>0</v>
      </c>
      <c r="D33" s="116"/>
      <c r="E33" s="116"/>
      <c r="F33" s="41"/>
      <c r="G33" s="41"/>
      <c r="H33" s="185"/>
      <c r="I33" s="248"/>
      <c r="J33" s="185"/>
      <c r="K33" s="185"/>
      <c r="L33" s="185"/>
      <c r="M33" s="78"/>
      <c r="N33" s="78"/>
      <c r="O33" s="78"/>
      <c r="P33" s="78"/>
      <c r="Q33" s="78"/>
      <c r="R33" s="78"/>
    </row>
    <row r="34" spans="1:18" x14ac:dyDescent="0.25">
      <c r="A34" s="86" t="s">
        <v>56</v>
      </c>
      <c r="B34" s="87"/>
      <c r="C34" s="100">
        <f t="shared" si="0"/>
        <v>0</v>
      </c>
      <c r="D34" s="116"/>
      <c r="E34" s="116"/>
      <c r="F34" s="41"/>
      <c r="G34" s="41"/>
      <c r="H34" s="185"/>
      <c r="I34" s="248"/>
      <c r="J34" s="185"/>
      <c r="K34" s="185"/>
      <c r="L34" s="185"/>
      <c r="M34" s="78"/>
      <c r="N34" s="78"/>
      <c r="O34" s="78"/>
      <c r="P34" s="78"/>
      <c r="Q34" s="78"/>
      <c r="R34" s="78"/>
    </row>
    <row r="35" spans="1:18" x14ac:dyDescent="0.25">
      <c r="A35" s="86" t="s">
        <v>57</v>
      </c>
      <c r="B35" s="88"/>
      <c r="C35" s="100">
        <f t="shared" si="0"/>
        <v>0</v>
      </c>
      <c r="D35" s="116"/>
      <c r="E35" s="116"/>
      <c r="F35" s="41"/>
      <c r="G35" s="41"/>
      <c r="H35" s="185"/>
      <c r="I35" s="248"/>
      <c r="J35" s="185"/>
      <c r="K35" s="185"/>
      <c r="L35" s="185"/>
      <c r="M35" s="78"/>
      <c r="N35" s="78"/>
      <c r="O35" s="78"/>
      <c r="P35" s="78"/>
      <c r="Q35" s="78"/>
      <c r="R35" s="78"/>
    </row>
    <row r="36" spans="1:18" x14ac:dyDescent="0.25">
      <c r="A36" s="89" t="s">
        <v>58</v>
      </c>
      <c r="B36" s="87"/>
      <c r="C36" s="100">
        <f t="shared" si="0"/>
        <v>0</v>
      </c>
      <c r="D36" s="116"/>
      <c r="E36" s="116"/>
      <c r="F36" s="41"/>
      <c r="G36" s="41"/>
      <c r="H36" s="185"/>
      <c r="I36" s="248"/>
      <c r="J36" s="185"/>
      <c r="K36" s="185"/>
      <c r="L36" s="185"/>
      <c r="M36" s="78"/>
      <c r="N36" s="78"/>
      <c r="O36" s="78"/>
      <c r="P36" s="78"/>
      <c r="Q36" s="78"/>
      <c r="R36" s="78"/>
    </row>
    <row r="37" spans="1:18" x14ac:dyDescent="0.25">
      <c r="A37" s="583" t="s">
        <v>59</v>
      </c>
      <c r="B37" s="584"/>
      <c r="C37" s="100">
        <f t="shared" si="0"/>
        <v>0</v>
      </c>
      <c r="D37" s="116"/>
      <c r="E37" s="116"/>
      <c r="F37" s="41"/>
      <c r="G37" s="41"/>
      <c r="H37" s="185"/>
      <c r="I37" s="248"/>
      <c r="J37" s="185"/>
      <c r="K37" s="185"/>
      <c r="L37" s="185"/>
      <c r="M37" s="78"/>
      <c r="N37" s="78"/>
      <c r="O37" s="78"/>
      <c r="P37" s="78"/>
      <c r="Q37" s="78"/>
      <c r="R37" s="78"/>
    </row>
    <row r="38" spans="1:18" x14ac:dyDescent="0.25">
      <c r="A38" s="86" t="s">
        <v>60</v>
      </c>
      <c r="B38" s="87"/>
      <c r="C38" s="100">
        <f t="shared" si="0"/>
        <v>0</v>
      </c>
      <c r="D38" s="116"/>
      <c r="E38" s="116"/>
      <c r="F38" s="41"/>
      <c r="G38" s="41"/>
      <c r="H38" s="185"/>
      <c r="I38" s="248"/>
      <c r="J38" s="185"/>
      <c r="K38" s="185"/>
      <c r="L38" s="185"/>
      <c r="M38" s="78"/>
      <c r="N38" s="78"/>
      <c r="O38" s="78"/>
      <c r="P38" s="78"/>
      <c r="Q38" s="78"/>
      <c r="R38" s="78"/>
    </row>
    <row r="39" spans="1:18" x14ac:dyDescent="0.25">
      <c r="A39" s="89" t="s">
        <v>61</v>
      </c>
      <c r="B39" s="90"/>
      <c r="C39" s="100">
        <f t="shared" si="0"/>
        <v>0</v>
      </c>
      <c r="D39" s="116"/>
      <c r="E39" s="116"/>
      <c r="F39" s="41"/>
      <c r="G39" s="41"/>
      <c r="H39" s="185"/>
      <c r="I39" s="248"/>
      <c r="J39" s="185"/>
      <c r="K39" s="185"/>
      <c r="L39" s="185"/>
      <c r="M39" s="78"/>
      <c r="N39" s="78"/>
      <c r="O39" s="78"/>
      <c r="P39" s="78"/>
      <c r="Q39" s="78"/>
      <c r="R39" s="78"/>
    </row>
    <row r="40" spans="1:18" x14ac:dyDescent="0.25">
      <c r="A40" s="91" t="s">
        <v>62</v>
      </c>
      <c r="B40" s="87"/>
      <c r="C40" s="100">
        <f t="shared" si="0"/>
        <v>0</v>
      </c>
      <c r="D40" s="116"/>
      <c r="E40" s="116"/>
      <c r="F40" s="41"/>
      <c r="G40" s="41"/>
      <c r="H40" s="185"/>
      <c r="I40" s="248"/>
      <c r="J40" s="185"/>
      <c r="K40" s="185"/>
      <c r="L40" s="185"/>
      <c r="M40" s="78"/>
      <c r="N40" s="78"/>
      <c r="O40" s="78"/>
      <c r="P40" s="78"/>
      <c r="Q40" s="78"/>
      <c r="R40" s="78"/>
    </row>
    <row r="41" spans="1:18" x14ac:dyDescent="0.25">
      <c r="A41" s="86" t="s">
        <v>63</v>
      </c>
      <c r="B41" s="90"/>
      <c r="C41" s="100">
        <f t="shared" si="0"/>
        <v>0</v>
      </c>
      <c r="D41" s="116"/>
      <c r="E41" s="116"/>
      <c r="F41" s="41"/>
      <c r="G41" s="41"/>
      <c r="H41" s="185"/>
      <c r="I41" s="248"/>
      <c r="J41" s="185"/>
      <c r="K41" s="185"/>
      <c r="L41" s="185"/>
      <c r="M41" s="78"/>
      <c r="N41" s="78"/>
      <c r="O41" s="78"/>
      <c r="P41" s="78"/>
      <c r="Q41" s="78"/>
      <c r="R41" s="78"/>
    </row>
    <row r="42" spans="1:18" x14ac:dyDescent="0.25">
      <c r="A42" s="86" t="s">
        <v>64</v>
      </c>
      <c r="B42" s="87"/>
      <c r="C42" s="100">
        <f t="shared" si="0"/>
        <v>0</v>
      </c>
      <c r="D42" s="116"/>
      <c r="E42" s="116"/>
      <c r="F42" s="41"/>
      <c r="G42" s="41"/>
      <c r="H42" s="185"/>
      <c r="I42" s="248"/>
      <c r="J42" s="185"/>
      <c r="K42" s="185"/>
      <c r="L42" s="185"/>
      <c r="M42" s="78"/>
      <c r="N42" s="78"/>
      <c r="O42" s="78"/>
      <c r="P42" s="78"/>
      <c r="Q42" s="78"/>
      <c r="R42" s="78"/>
    </row>
    <row r="43" spans="1:18" ht="15.75" thickBot="1" x14ac:dyDescent="0.3">
      <c r="A43" s="92" t="s">
        <v>65</v>
      </c>
      <c r="B43" s="88"/>
      <c r="C43" s="101">
        <f t="shared" si="0"/>
        <v>0</v>
      </c>
      <c r="D43" s="117"/>
      <c r="E43" s="117"/>
      <c r="F43" s="42"/>
      <c r="G43" s="42"/>
      <c r="H43" s="186"/>
      <c r="I43" s="249"/>
      <c r="J43" s="186"/>
      <c r="K43" s="186"/>
      <c r="L43" s="186"/>
      <c r="M43" s="94"/>
      <c r="N43" s="94"/>
      <c r="O43" s="94"/>
      <c r="P43" s="94"/>
      <c r="Q43" s="94"/>
      <c r="R43" s="94"/>
    </row>
    <row r="44" spans="1:18" ht="16.5" thickBot="1" x14ac:dyDescent="0.3">
      <c r="A44" s="585" t="s">
        <v>84</v>
      </c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7"/>
    </row>
    <row r="45" spans="1:18" ht="24.95" customHeight="1" x14ac:dyDescent="0.25">
      <c r="A45" s="588" t="s">
        <v>278</v>
      </c>
      <c r="B45" s="589"/>
      <c r="C45" s="99">
        <f t="shared" si="0"/>
        <v>65</v>
      </c>
      <c r="D45" s="113">
        <v>0</v>
      </c>
      <c r="E45" s="113">
        <v>0</v>
      </c>
      <c r="F45" s="40">
        <v>0</v>
      </c>
      <c r="G45" s="40">
        <v>0</v>
      </c>
      <c r="H45" s="184">
        <v>1</v>
      </c>
      <c r="I45" s="247">
        <v>31</v>
      </c>
      <c r="J45" s="184">
        <v>10</v>
      </c>
      <c r="K45" s="184">
        <v>17</v>
      </c>
      <c r="L45" s="184">
        <v>6</v>
      </c>
      <c r="M45" s="95"/>
      <c r="N45" s="95"/>
      <c r="O45" s="95"/>
      <c r="P45" s="95"/>
      <c r="Q45" s="95"/>
      <c r="R45" s="95"/>
    </row>
    <row r="46" spans="1:18" ht="24.95" customHeight="1" x14ac:dyDescent="0.25">
      <c r="A46" s="581" t="s">
        <v>279</v>
      </c>
      <c r="B46" s="582"/>
      <c r="C46" s="100">
        <f t="shared" si="0"/>
        <v>55</v>
      </c>
      <c r="D46" s="114">
        <v>0</v>
      </c>
      <c r="E46" s="114">
        <v>0</v>
      </c>
      <c r="F46" s="41">
        <v>0</v>
      </c>
      <c r="G46" s="41">
        <v>0</v>
      </c>
      <c r="H46" s="185">
        <v>1</v>
      </c>
      <c r="I46" s="248">
        <v>26</v>
      </c>
      <c r="J46" s="185">
        <v>9</v>
      </c>
      <c r="K46" s="185">
        <v>14</v>
      </c>
      <c r="L46" s="185">
        <v>5</v>
      </c>
      <c r="M46" s="93"/>
      <c r="N46" s="93"/>
      <c r="O46" s="93"/>
      <c r="P46" s="93"/>
      <c r="Q46" s="93"/>
      <c r="R46" s="93"/>
    </row>
    <row r="47" spans="1:18" ht="24.95" customHeight="1" x14ac:dyDescent="0.25">
      <c r="A47" s="581" t="s">
        <v>280</v>
      </c>
      <c r="B47" s="582"/>
      <c r="C47" s="100">
        <f t="shared" si="0"/>
        <v>4</v>
      </c>
      <c r="D47" s="114">
        <v>0</v>
      </c>
      <c r="E47" s="114">
        <v>0</v>
      </c>
      <c r="F47" s="41">
        <v>0</v>
      </c>
      <c r="G47" s="41">
        <v>0</v>
      </c>
      <c r="H47" s="185"/>
      <c r="I47" s="248"/>
      <c r="J47" s="185">
        <v>1</v>
      </c>
      <c r="K47" s="185">
        <v>1</v>
      </c>
      <c r="L47" s="185">
        <v>2</v>
      </c>
      <c r="M47" s="93"/>
      <c r="N47" s="93"/>
      <c r="O47" s="93"/>
      <c r="P47" s="93"/>
      <c r="Q47" s="93"/>
      <c r="R47" s="93"/>
    </row>
    <row r="48" spans="1:18" ht="24.95" customHeight="1" x14ac:dyDescent="0.25">
      <c r="A48" s="581" t="s">
        <v>281</v>
      </c>
      <c r="B48" s="582"/>
      <c r="C48" s="100">
        <f t="shared" si="0"/>
        <v>4</v>
      </c>
      <c r="D48" s="114">
        <v>0</v>
      </c>
      <c r="E48" s="114">
        <v>0</v>
      </c>
      <c r="F48" s="41">
        <v>0</v>
      </c>
      <c r="G48" s="41">
        <v>0</v>
      </c>
      <c r="H48" s="185"/>
      <c r="I48" s="248"/>
      <c r="J48" s="185">
        <v>1</v>
      </c>
      <c r="K48" s="185">
        <v>1</v>
      </c>
      <c r="L48" s="185">
        <v>2</v>
      </c>
      <c r="M48" s="93"/>
      <c r="N48" s="93"/>
      <c r="O48" s="93"/>
      <c r="P48" s="93"/>
      <c r="Q48" s="93"/>
      <c r="R48" s="93"/>
    </row>
    <row r="49" spans="1:18" ht="24.95" customHeight="1" x14ac:dyDescent="0.25">
      <c r="A49" s="581" t="s">
        <v>274</v>
      </c>
      <c r="B49" s="582"/>
      <c r="C49" s="100">
        <f t="shared" si="0"/>
        <v>0</v>
      </c>
      <c r="D49" s="114">
        <v>0</v>
      </c>
      <c r="E49" s="114">
        <v>0</v>
      </c>
      <c r="F49" s="41">
        <v>0</v>
      </c>
      <c r="G49" s="41">
        <v>0</v>
      </c>
      <c r="H49" s="185"/>
      <c r="I49" s="248"/>
      <c r="J49" s="185">
        <v>0</v>
      </c>
      <c r="K49" s="185">
        <v>0</v>
      </c>
      <c r="L49" s="185">
        <v>0</v>
      </c>
      <c r="M49" s="93"/>
      <c r="N49" s="93"/>
      <c r="O49" s="93"/>
      <c r="P49" s="93"/>
      <c r="Q49" s="93"/>
      <c r="R49" s="93"/>
    </row>
    <row r="50" spans="1:18" ht="24.95" customHeight="1" thickBot="1" x14ac:dyDescent="0.3">
      <c r="A50" s="592" t="s">
        <v>282</v>
      </c>
      <c r="B50" s="593"/>
      <c r="C50" s="101">
        <f t="shared" si="0"/>
        <v>1</v>
      </c>
      <c r="D50" s="115">
        <v>0</v>
      </c>
      <c r="E50" s="115">
        <v>0</v>
      </c>
      <c r="F50" s="41">
        <v>0</v>
      </c>
      <c r="G50" s="41">
        <v>0</v>
      </c>
      <c r="H50" s="186"/>
      <c r="I50" s="249"/>
      <c r="J50" s="186">
        <v>0</v>
      </c>
      <c r="K50" s="186">
        <v>1</v>
      </c>
      <c r="L50" s="186">
        <v>0</v>
      </c>
      <c r="M50" s="96"/>
      <c r="N50" s="96"/>
      <c r="O50" s="96"/>
      <c r="P50" s="96"/>
      <c r="Q50" s="96"/>
      <c r="R50" s="96"/>
    </row>
    <row r="51" spans="1:18" ht="16.5" thickBot="1" x14ac:dyDescent="0.3">
      <c r="A51" s="594" t="s">
        <v>85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6"/>
    </row>
    <row r="52" spans="1:18" x14ac:dyDescent="0.25">
      <c r="A52" s="597" t="s">
        <v>15</v>
      </c>
      <c r="B52" s="597"/>
      <c r="C52" s="76" t="s">
        <v>82</v>
      </c>
      <c r="D52" s="76"/>
      <c r="E52" s="182"/>
      <c r="F52" s="97"/>
      <c r="G52" s="97"/>
      <c r="H52" s="98"/>
      <c r="I52" s="98"/>
      <c r="J52" s="98"/>
      <c r="K52" s="98"/>
      <c r="L52" s="98" t="s">
        <v>75</v>
      </c>
      <c r="M52" s="98"/>
      <c r="N52" s="98"/>
      <c r="O52" s="98"/>
      <c r="P52" s="98"/>
      <c r="Q52" s="98"/>
      <c r="R52" s="98"/>
    </row>
    <row r="53" spans="1:18" x14ac:dyDescent="0.25">
      <c r="A53" s="590" t="s">
        <v>8</v>
      </c>
      <c r="B53" s="591"/>
      <c r="C53" s="128">
        <f t="shared" ref="C53:C65" si="1">SUM(D53:R53)</f>
        <v>81744.42</v>
      </c>
      <c r="D53" s="129">
        <v>0</v>
      </c>
      <c r="E53" s="190">
        <v>1802.06</v>
      </c>
      <c r="F53" s="191">
        <v>772</v>
      </c>
      <c r="G53" s="191">
        <v>1700</v>
      </c>
      <c r="H53" s="188">
        <v>4109</v>
      </c>
      <c r="I53" s="188">
        <v>7002</v>
      </c>
      <c r="J53" s="193">
        <v>20469</v>
      </c>
      <c r="K53" s="188">
        <v>25175.19</v>
      </c>
      <c r="L53" s="193">
        <v>20715.169999999998</v>
      </c>
      <c r="M53" s="131"/>
      <c r="N53" s="131"/>
      <c r="O53" s="131"/>
      <c r="P53" s="131"/>
      <c r="Q53" s="131"/>
      <c r="R53" s="131"/>
    </row>
    <row r="54" spans="1:18" x14ac:dyDescent="0.25">
      <c r="A54" s="590" t="s">
        <v>9</v>
      </c>
      <c r="B54" s="591"/>
      <c r="C54" s="128">
        <f t="shared" si="1"/>
        <v>31717.32</v>
      </c>
      <c r="D54" s="129">
        <v>0</v>
      </c>
      <c r="E54" s="190">
        <v>456.55</v>
      </c>
      <c r="F54" s="191">
        <v>199</v>
      </c>
      <c r="G54" s="191">
        <v>401</v>
      </c>
      <c r="H54" s="188">
        <v>1058</v>
      </c>
      <c r="I54" s="188">
        <v>2091</v>
      </c>
      <c r="J54" s="193">
        <v>7623</v>
      </c>
      <c r="K54" s="188">
        <v>12029.43</v>
      </c>
      <c r="L54" s="193">
        <v>7859.34</v>
      </c>
      <c r="M54" s="131"/>
      <c r="N54" s="131"/>
      <c r="O54" s="131"/>
      <c r="P54" s="131"/>
      <c r="Q54" s="131"/>
      <c r="R54" s="131"/>
    </row>
    <row r="55" spans="1:18" x14ac:dyDescent="0.25">
      <c r="A55" s="590" t="s">
        <v>10</v>
      </c>
      <c r="B55" s="591"/>
      <c r="C55" s="128">
        <f t="shared" si="1"/>
        <v>3379.2500000000005</v>
      </c>
      <c r="D55" s="129">
        <v>0</v>
      </c>
      <c r="E55" s="190">
        <v>94.64</v>
      </c>
      <c r="F55" s="191">
        <v>54</v>
      </c>
      <c r="G55" s="191">
        <v>210.91</v>
      </c>
      <c r="H55" s="188">
        <v>91</v>
      </c>
      <c r="I55" s="188">
        <v>441</v>
      </c>
      <c r="J55" s="193">
        <v>2168</v>
      </c>
      <c r="K55" s="188">
        <v>-470.89</v>
      </c>
      <c r="L55" s="193">
        <v>790.59</v>
      </c>
      <c r="M55" s="131"/>
      <c r="N55" s="131"/>
      <c r="O55" s="131"/>
      <c r="P55" s="131"/>
      <c r="Q55" s="131"/>
      <c r="R55" s="131"/>
    </row>
    <row r="56" spans="1:18" x14ac:dyDescent="0.25">
      <c r="A56" s="590" t="s">
        <v>17</v>
      </c>
      <c r="B56" s="591"/>
      <c r="C56" s="128">
        <f t="shared" si="1"/>
        <v>0</v>
      </c>
      <c r="D56" s="129">
        <v>0</v>
      </c>
      <c r="E56" s="129"/>
      <c r="F56" s="191"/>
      <c r="G56" s="191"/>
      <c r="H56" s="188"/>
      <c r="I56" s="188"/>
      <c r="J56" s="193"/>
      <c r="K56" s="188"/>
      <c r="L56" s="193"/>
      <c r="M56" s="131"/>
      <c r="N56" s="131"/>
      <c r="O56" s="131"/>
      <c r="P56" s="131"/>
      <c r="Q56" s="131"/>
      <c r="R56" s="131"/>
    </row>
    <row r="57" spans="1:18" x14ac:dyDescent="0.25">
      <c r="A57" s="590" t="s">
        <v>11</v>
      </c>
      <c r="B57" s="591"/>
      <c r="C57" s="128">
        <f t="shared" si="1"/>
        <v>7652.9599999999991</v>
      </c>
      <c r="D57" s="129">
        <v>0</v>
      </c>
      <c r="E57" s="190">
        <v>249.2</v>
      </c>
      <c r="F57" s="191">
        <v>54</v>
      </c>
      <c r="G57" s="191">
        <v>164</v>
      </c>
      <c r="H57" s="188">
        <v>-110</v>
      </c>
      <c r="I57" s="188">
        <v>1325</v>
      </c>
      <c r="J57" s="193">
        <v>1297</v>
      </c>
      <c r="K57" s="404">
        <v>2276.4299999999998</v>
      </c>
      <c r="L57" s="193">
        <v>2397.33</v>
      </c>
      <c r="M57" s="131"/>
      <c r="N57" s="131"/>
      <c r="O57" s="131"/>
      <c r="P57" s="131"/>
      <c r="Q57" s="131"/>
      <c r="R57" s="131"/>
    </row>
    <row r="58" spans="1:18" x14ac:dyDescent="0.25">
      <c r="A58" s="590" t="s">
        <v>18</v>
      </c>
      <c r="B58" s="591"/>
      <c r="C58" s="128">
        <f t="shared" si="1"/>
        <v>0</v>
      </c>
      <c r="D58" s="129">
        <v>0</v>
      </c>
      <c r="E58" s="129"/>
      <c r="F58" s="191"/>
      <c r="G58" s="191"/>
      <c r="H58" s="188"/>
      <c r="I58" s="188"/>
      <c r="J58" s="193"/>
      <c r="K58" s="188"/>
      <c r="L58" s="193"/>
      <c r="M58" s="131"/>
      <c r="N58" s="131"/>
      <c r="O58" s="131"/>
      <c r="P58" s="131"/>
      <c r="Q58" s="131"/>
      <c r="R58" s="131"/>
    </row>
    <row r="59" spans="1:18" x14ac:dyDescent="0.25">
      <c r="A59" s="590" t="s">
        <v>19</v>
      </c>
      <c r="B59" s="591"/>
      <c r="C59" s="128">
        <f t="shared" si="1"/>
        <v>0</v>
      </c>
      <c r="D59" s="129">
        <v>0</v>
      </c>
      <c r="E59" s="129"/>
      <c r="F59" s="191"/>
      <c r="G59" s="191"/>
      <c r="H59" s="188"/>
      <c r="I59" s="188"/>
      <c r="J59" s="193"/>
      <c r="K59" s="188"/>
      <c r="L59" s="193"/>
      <c r="M59" s="131"/>
      <c r="N59" s="131"/>
      <c r="O59" s="131"/>
      <c r="P59" s="131"/>
      <c r="Q59" s="131"/>
      <c r="R59" s="131"/>
    </row>
    <row r="60" spans="1:18" x14ac:dyDescent="0.25">
      <c r="A60" s="590" t="s">
        <v>20</v>
      </c>
      <c r="B60" s="591"/>
      <c r="C60" s="128">
        <f t="shared" si="1"/>
        <v>22383.489999999998</v>
      </c>
      <c r="D60" s="129">
        <v>0</v>
      </c>
      <c r="E60" s="190">
        <v>3.72</v>
      </c>
      <c r="F60" s="191"/>
      <c r="G60" s="191">
        <v>-139</v>
      </c>
      <c r="H60" s="188">
        <v>189</v>
      </c>
      <c r="I60" s="188">
        <v>979</v>
      </c>
      <c r="J60" s="193">
        <v>7432</v>
      </c>
      <c r="K60" s="188">
        <v>9428.3799999999992</v>
      </c>
      <c r="L60" s="193">
        <v>4490.3900000000003</v>
      </c>
      <c r="M60" s="131"/>
      <c r="N60" s="131"/>
      <c r="O60" s="131"/>
      <c r="P60" s="131"/>
      <c r="Q60" s="131"/>
      <c r="R60" s="131"/>
    </row>
    <row r="61" spans="1:18" x14ac:dyDescent="0.25">
      <c r="A61" s="590" t="s">
        <v>21</v>
      </c>
      <c r="B61" s="591"/>
      <c r="C61" s="128">
        <f t="shared" si="1"/>
        <v>0</v>
      </c>
      <c r="D61" s="129">
        <v>0</v>
      </c>
      <c r="E61" s="129"/>
      <c r="F61" s="191"/>
      <c r="G61" s="191"/>
      <c r="H61" s="188"/>
      <c r="I61" s="188"/>
      <c r="J61" s="193"/>
      <c r="K61" s="188"/>
      <c r="L61" s="193"/>
      <c r="M61" s="131"/>
      <c r="N61" s="131"/>
      <c r="O61" s="131"/>
      <c r="P61" s="131"/>
      <c r="Q61" s="131"/>
      <c r="R61" s="131"/>
    </row>
    <row r="62" spans="1:18" x14ac:dyDescent="0.25">
      <c r="A62" s="590" t="s">
        <v>12</v>
      </c>
      <c r="B62" s="591"/>
      <c r="C62" s="128">
        <f t="shared" si="1"/>
        <v>93969.48000000001</v>
      </c>
      <c r="D62" s="129">
        <v>0</v>
      </c>
      <c r="E62" s="129"/>
      <c r="F62" s="191"/>
      <c r="G62" s="191"/>
      <c r="H62" s="188"/>
      <c r="I62" s="188">
        <v>31123</v>
      </c>
      <c r="J62" s="193">
        <v>11000</v>
      </c>
      <c r="K62" s="188">
        <v>39846.480000000003</v>
      </c>
      <c r="L62" s="193">
        <v>12000</v>
      </c>
      <c r="M62" s="131"/>
      <c r="N62" s="131"/>
      <c r="O62" s="131"/>
      <c r="P62" s="131"/>
      <c r="Q62" s="131"/>
      <c r="R62" s="131"/>
    </row>
    <row r="63" spans="1:18" x14ac:dyDescent="0.25">
      <c r="A63" s="590" t="s">
        <v>13</v>
      </c>
      <c r="B63" s="591"/>
      <c r="C63" s="128">
        <f t="shared" si="1"/>
        <v>2334.6</v>
      </c>
      <c r="D63" s="129">
        <v>0</v>
      </c>
      <c r="E63" s="129"/>
      <c r="F63" s="191"/>
      <c r="G63" s="191"/>
      <c r="H63" s="188"/>
      <c r="I63" s="188">
        <v>34</v>
      </c>
      <c r="J63" s="193">
        <v>481</v>
      </c>
      <c r="K63" s="188">
        <v>1819.6</v>
      </c>
      <c r="L63" s="193">
        <v>0</v>
      </c>
      <c r="M63" s="131"/>
      <c r="N63" s="131"/>
      <c r="O63" s="131"/>
      <c r="P63" s="131"/>
      <c r="Q63" s="131"/>
      <c r="R63" s="131"/>
    </row>
    <row r="64" spans="1:18" x14ac:dyDescent="0.25">
      <c r="A64" s="590" t="s">
        <v>14</v>
      </c>
      <c r="B64" s="591"/>
      <c r="C64" s="128">
        <f t="shared" si="1"/>
        <v>1792.88</v>
      </c>
      <c r="D64" s="129">
        <v>0</v>
      </c>
      <c r="E64" s="190">
        <v>702.88</v>
      </c>
      <c r="F64" s="191">
        <v>1090</v>
      </c>
      <c r="G64" s="191"/>
      <c r="H64" s="188"/>
      <c r="I64" s="188"/>
      <c r="J64" s="193"/>
      <c r="K64" s="188"/>
      <c r="L64" s="193"/>
      <c r="M64" s="131"/>
      <c r="N64" s="131"/>
      <c r="O64" s="131"/>
      <c r="P64" s="131"/>
      <c r="Q64" s="131"/>
      <c r="R64" s="131"/>
    </row>
    <row r="65" spans="1:18" ht="15.75" thickBot="1" x14ac:dyDescent="0.3">
      <c r="A65" s="598" t="s">
        <v>22</v>
      </c>
      <c r="B65" s="599"/>
      <c r="C65" s="128">
        <f t="shared" si="1"/>
        <v>22125.43</v>
      </c>
      <c r="D65" s="134">
        <v>0</v>
      </c>
      <c r="E65" s="190">
        <v>780.01</v>
      </c>
      <c r="F65" s="191"/>
      <c r="G65" s="191">
        <v>4119</v>
      </c>
      <c r="H65" s="189">
        <v>381</v>
      </c>
      <c r="I65" s="189">
        <v>2563</v>
      </c>
      <c r="J65" s="194">
        <v>5618</v>
      </c>
      <c r="K65" s="189">
        <v>4908.43</v>
      </c>
      <c r="L65" s="194">
        <v>3755.99</v>
      </c>
      <c r="M65" s="136"/>
      <c r="N65" s="136"/>
      <c r="O65" s="136"/>
      <c r="P65" s="136"/>
      <c r="Q65" s="136"/>
      <c r="R65" s="136"/>
    </row>
    <row r="66" spans="1:18" ht="15.75" thickBot="1" x14ac:dyDescent="0.3">
      <c r="A66" s="600" t="s">
        <v>87</v>
      </c>
      <c r="B66" s="601"/>
      <c r="C66" s="137">
        <f>SUM(C53:C65)</f>
        <v>267099.83</v>
      </c>
      <c r="D66" s="138">
        <f>SUM(D52:D65)</f>
        <v>0</v>
      </c>
      <c r="E66" s="138">
        <f t="shared" ref="E66:R66" si="2">SUM(E52:E65)</f>
        <v>4089.0599999999995</v>
      </c>
      <c r="F66" s="138">
        <f t="shared" si="2"/>
        <v>2169</v>
      </c>
      <c r="G66" s="138">
        <f t="shared" si="2"/>
        <v>6455.91</v>
      </c>
      <c r="H66" s="138">
        <f t="shared" si="2"/>
        <v>5718</v>
      </c>
      <c r="I66" s="138">
        <f t="shared" si="2"/>
        <v>45558</v>
      </c>
      <c r="J66" s="138">
        <f t="shared" si="2"/>
        <v>56088</v>
      </c>
      <c r="K66" s="138">
        <f t="shared" si="2"/>
        <v>95013.049999999988</v>
      </c>
      <c r="L66" s="138">
        <f t="shared" si="2"/>
        <v>52008.81</v>
      </c>
      <c r="M66" s="138">
        <f t="shared" si="2"/>
        <v>0</v>
      </c>
      <c r="N66" s="138">
        <f t="shared" si="2"/>
        <v>0</v>
      </c>
      <c r="O66" s="138">
        <f t="shared" si="2"/>
        <v>0</v>
      </c>
      <c r="P66" s="138">
        <f t="shared" si="2"/>
        <v>0</v>
      </c>
      <c r="Q66" s="138">
        <f t="shared" si="2"/>
        <v>0</v>
      </c>
      <c r="R66" s="138">
        <f t="shared" si="2"/>
        <v>0</v>
      </c>
    </row>
    <row r="67" spans="1:18" x14ac:dyDescent="0.25">
      <c r="A67" s="602" t="s">
        <v>33</v>
      </c>
      <c r="B67" s="603"/>
      <c r="C67" s="103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</row>
    <row r="68" spans="1:18" x14ac:dyDescent="0.25">
      <c r="A68" s="604" t="s">
        <v>8</v>
      </c>
      <c r="B68" s="605"/>
      <c r="C68" s="139">
        <f t="shared" ref="C68:C82" si="3">SUM(D68:R68)</f>
        <v>7002</v>
      </c>
      <c r="D68" s="140">
        <v>0</v>
      </c>
      <c r="E68" s="140">
        <v>0</v>
      </c>
      <c r="F68" s="140"/>
      <c r="G68" s="191"/>
      <c r="H68" s="187"/>
      <c r="I68" s="187"/>
      <c r="J68" s="192">
        <v>7002</v>
      </c>
      <c r="K68" s="187"/>
      <c r="L68" s="187"/>
      <c r="M68" s="141"/>
      <c r="N68" s="141"/>
      <c r="O68" s="141"/>
      <c r="P68" s="141"/>
      <c r="Q68" s="141"/>
      <c r="R68" s="141"/>
    </row>
    <row r="69" spans="1:18" x14ac:dyDescent="0.25">
      <c r="A69" s="590" t="s">
        <v>9</v>
      </c>
      <c r="B69" s="591"/>
      <c r="C69" s="128">
        <f t="shared" si="3"/>
        <v>2091</v>
      </c>
      <c r="D69" s="140">
        <v>0</v>
      </c>
      <c r="E69" s="140">
        <v>0</v>
      </c>
      <c r="F69" s="140"/>
      <c r="G69" s="191"/>
      <c r="H69" s="188"/>
      <c r="I69" s="188"/>
      <c r="J69" s="193">
        <v>2091</v>
      </c>
      <c r="K69" s="188"/>
      <c r="L69" s="188"/>
      <c r="M69" s="131"/>
      <c r="N69" s="131"/>
      <c r="O69" s="131"/>
      <c r="P69" s="131"/>
      <c r="Q69" s="131"/>
      <c r="R69" s="131"/>
    </row>
    <row r="70" spans="1:18" x14ac:dyDescent="0.25">
      <c r="A70" s="590" t="s">
        <v>10</v>
      </c>
      <c r="B70" s="591"/>
      <c r="C70" s="128">
        <f t="shared" si="3"/>
        <v>441</v>
      </c>
      <c r="D70" s="140">
        <v>0</v>
      </c>
      <c r="E70" s="140">
        <v>0</v>
      </c>
      <c r="F70" s="140"/>
      <c r="G70" s="191"/>
      <c r="H70" s="188"/>
      <c r="I70" s="188"/>
      <c r="J70" s="193">
        <v>441</v>
      </c>
      <c r="K70" s="188"/>
      <c r="L70" s="188"/>
      <c r="M70" s="131"/>
      <c r="N70" s="131"/>
      <c r="O70" s="131"/>
      <c r="P70" s="131"/>
      <c r="Q70" s="131"/>
      <c r="R70" s="131"/>
    </row>
    <row r="71" spans="1:18" x14ac:dyDescent="0.25">
      <c r="A71" s="590" t="s">
        <v>17</v>
      </c>
      <c r="B71" s="591"/>
      <c r="C71" s="128">
        <f t="shared" si="3"/>
        <v>0</v>
      </c>
      <c r="D71" s="140">
        <v>0</v>
      </c>
      <c r="E71" s="140">
        <v>0</v>
      </c>
      <c r="F71" s="140"/>
      <c r="G71" s="191"/>
      <c r="H71" s="188"/>
      <c r="I71" s="188"/>
      <c r="J71" s="193"/>
      <c r="K71" s="188"/>
      <c r="L71" s="188"/>
      <c r="M71" s="131"/>
      <c r="N71" s="131"/>
      <c r="O71" s="131"/>
      <c r="P71" s="131"/>
      <c r="Q71" s="131"/>
      <c r="R71" s="131"/>
    </row>
    <row r="72" spans="1:18" x14ac:dyDescent="0.25">
      <c r="A72" s="590" t="s">
        <v>11</v>
      </c>
      <c r="B72" s="591"/>
      <c r="C72" s="128">
        <f t="shared" si="3"/>
        <v>1325</v>
      </c>
      <c r="D72" s="140">
        <v>0</v>
      </c>
      <c r="E72" s="140">
        <v>0</v>
      </c>
      <c r="F72" s="140"/>
      <c r="G72" s="191"/>
      <c r="H72" s="188"/>
      <c r="I72" s="188"/>
      <c r="J72" s="193">
        <v>1325</v>
      </c>
      <c r="K72" s="188"/>
      <c r="L72" s="188"/>
      <c r="M72" s="131"/>
      <c r="N72" s="131"/>
      <c r="O72" s="131"/>
      <c r="P72" s="131"/>
      <c r="Q72" s="131"/>
      <c r="R72" s="131"/>
    </row>
    <row r="73" spans="1:18" x14ac:dyDescent="0.25">
      <c r="A73" s="590" t="s">
        <v>18</v>
      </c>
      <c r="B73" s="591"/>
      <c r="C73" s="128">
        <f t="shared" si="3"/>
        <v>0</v>
      </c>
      <c r="D73" s="140">
        <v>0</v>
      </c>
      <c r="E73" s="140">
        <v>0</v>
      </c>
      <c r="F73" s="140"/>
      <c r="G73" s="191"/>
      <c r="H73" s="188"/>
      <c r="I73" s="188"/>
      <c r="J73" s="193"/>
      <c r="K73" s="188"/>
      <c r="L73" s="188"/>
      <c r="M73" s="131"/>
      <c r="N73" s="131"/>
      <c r="O73" s="131"/>
      <c r="P73" s="131"/>
      <c r="Q73" s="131"/>
      <c r="R73" s="131"/>
    </row>
    <row r="74" spans="1:18" x14ac:dyDescent="0.25">
      <c r="A74" s="590" t="s">
        <v>19</v>
      </c>
      <c r="B74" s="591"/>
      <c r="C74" s="128">
        <f t="shared" si="3"/>
        <v>0</v>
      </c>
      <c r="D74" s="140">
        <v>0</v>
      </c>
      <c r="E74" s="140">
        <v>0</v>
      </c>
      <c r="F74" s="140"/>
      <c r="G74" s="191"/>
      <c r="H74" s="188"/>
      <c r="I74" s="188"/>
      <c r="J74" s="193"/>
      <c r="K74" s="188"/>
      <c r="L74" s="188"/>
      <c r="M74" s="131"/>
      <c r="N74" s="131"/>
      <c r="O74" s="131"/>
      <c r="P74" s="131"/>
      <c r="Q74" s="131"/>
      <c r="R74" s="131"/>
    </row>
    <row r="75" spans="1:18" x14ac:dyDescent="0.25">
      <c r="A75" s="590" t="s">
        <v>20</v>
      </c>
      <c r="B75" s="591"/>
      <c r="C75" s="128">
        <f t="shared" si="3"/>
        <v>979</v>
      </c>
      <c r="D75" s="140">
        <v>0</v>
      </c>
      <c r="E75" s="140">
        <v>0</v>
      </c>
      <c r="F75" s="140"/>
      <c r="G75" s="191"/>
      <c r="H75" s="188"/>
      <c r="I75" s="188"/>
      <c r="J75" s="193">
        <v>979</v>
      </c>
      <c r="K75" s="188"/>
      <c r="L75" s="188"/>
      <c r="M75" s="131"/>
      <c r="N75" s="131"/>
      <c r="O75" s="131"/>
      <c r="P75" s="131"/>
      <c r="Q75" s="131"/>
      <c r="R75" s="131"/>
    </row>
    <row r="76" spans="1:18" x14ac:dyDescent="0.25">
      <c r="A76" s="590" t="s">
        <v>21</v>
      </c>
      <c r="B76" s="591"/>
      <c r="C76" s="128">
        <f t="shared" si="3"/>
        <v>0</v>
      </c>
      <c r="D76" s="140">
        <v>0</v>
      </c>
      <c r="E76" s="140">
        <v>0</v>
      </c>
      <c r="F76" s="140"/>
      <c r="G76" s="191"/>
      <c r="H76" s="188"/>
      <c r="I76" s="188"/>
      <c r="J76" s="193"/>
      <c r="K76" s="188"/>
      <c r="L76" s="188"/>
      <c r="M76" s="131"/>
      <c r="N76" s="131"/>
      <c r="O76" s="131"/>
      <c r="P76" s="131"/>
      <c r="Q76" s="131"/>
      <c r="R76" s="131"/>
    </row>
    <row r="77" spans="1:18" x14ac:dyDescent="0.25">
      <c r="A77" s="590" t="s">
        <v>12</v>
      </c>
      <c r="B77" s="591"/>
      <c r="C77" s="128">
        <f t="shared" si="3"/>
        <v>52703.34</v>
      </c>
      <c r="D77" s="140">
        <v>0</v>
      </c>
      <c r="E77" s="140">
        <v>0</v>
      </c>
      <c r="F77" s="140"/>
      <c r="G77" s="191"/>
      <c r="H77" s="188"/>
      <c r="I77" s="188"/>
      <c r="J77" s="193">
        <v>31123</v>
      </c>
      <c r="K77" s="188"/>
      <c r="L77" s="188">
        <v>21580.34</v>
      </c>
      <c r="M77" s="131"/>
      <c r="N77" s="131"/>
      <c r="O77" s="131"/>
      <c r="P77" s="131"/>
      <c r="Q77" s="131"/>
      <c r="R77" s="131"/>
    </row>
    <row r="78" spans="1:18" x14ac:dyDescent="0.25">
      <c r="A78" s="590" t="s">
        <v>13</v>
      </c>
      <c r="B78" s="591"/>
      <c r="C78" s="128">
        <f t="shared" si="3"/>
        <v>34</v>
      </c>
      <c r="D78" s="140">
        <v>0</v>
      </c>
      <c r="E78" s="140">
        <v>0</v>
      </c>
      <c r="F78" s="140"/>
      <c r="G78" s="191"/>
      <c r="H78" s="188"/>
      <c r="I78" s="188"/>
      <c r="J78" s="193">
        <v>34</v>
      </c>
      <c r="K78" s="188"/>
      <c r="L78" s="188"/>
      <c r="M78" s="131"/>
      <c r="N78" s="131"/>
      <c r="O78" s="131"/>
      <c r="P78" s="131"/>
      <c r="Q78" s="131"/>
      <c r="R78" s="131"/>
    </row>
    <row r="79" spans="1:18" x14ac:dyDescent="0.25">
      <c r="A79" s="590" t="s">
        <v>14</v>
      </c>
      <c r="B79" s="591"/>
      <c r="C79" s="128">
        <f t="shared" si="3"/>
        <v>0</v>
      </c>
      <c r="D79" s="140">
        <v>0</v>
      </c>
      <c r="E79" s="140">
        <v>0</v>
      </c>
      <c r="F79" s="140"/>
      <c r="G79" s="191"/>
      <c r="H79" s="188"/>
      <c r="I79" s="188"/>
      <c r="J79" s="193"/>
      <c r="K79" s="188"/>
      <c r="L79" s="188"/>
      <c r="M79" s="131"/>
      <c r="N79" s="131"/>
      <c r="O79" s="131"/>
      <c r="P79" s="131"/>
      <c r="Q79" s="131"/>
      <c r="R79" s="131"/>
    </row>
    <row r="80" spans="1:18" x14ac:dyDescent="0.25">
      <c r="A80" s="590" t="s">
        <v>22</v>
      </c>
      <c r="B80" s="591"/>
      <c r="C80" s="128">
        <f t="shared" si="3"/>
        <v>2563</v>
      </c>
      <c r="D80" s="140">
        <v>0</v>
      </c>
      <c r="E80" s="140">
        <v>0</v>
      </c>
      <c r="F80" s="140"/>
      <c r="G80" s="191"/>
      <c r="H80" s="188"/>
      <c r="I80" s="188"/>
      <c r="J80" s="193">
        <v>2563</v>
      </c>
      <c r="K80" s="188"/>
      <c r="L80" s="188"/>
      <c r="M80" s="131"/>
      <c r="N80" s="131"/>
      <c r="O80" s="131"/>
      <c r="P80" s="131"/>
      <c r="Q80" s="131"/>
      <c r="R80" s="131"/>
    </row>
    <row r="81" spans="1:18" x14ac:dyDescent="0.25">
      <c r="A81" s="606" t="s">
        <v>87</v>
      </c>
      <c r="B81" s="607"/>
      <c r="C81" s="143">
        <f>SUM(C68:C80)</f>
        <v>67138.34</v>
      </c>
      <c r="D81" s="144">
        <f>SUM(D68:D80)</f>
        <v>0</v>
      </c>
      <c r="E81" s="144">
        <f t="shared" ref="E81:R81" si="4">SUM(E68:E80)</f>
        <v>0</v>
      </c>
      <c r="F81" s="144">
        <f t="shared" si="4"/>
        <v>0</v>
      </c>
      <c r="G81" s="144">
        <f t="shared" si="4"/>
        <v>0</v>
      </c>
      <c r="H81" s="144">
        <f t="shared" si="4"/>
        <v>0</v>
      </c>
      <c r="I81" s="144">
        <f t="shared" si="4"/>
        <v>0</v>
      </c>
      <c r="J81" s="144">
        <f t="shared" si="4"/>
        <v>45558</v>
      </c>
      <c r="K81" s="144">
        <f t="shared" si="4"/>
        <v>0</v>
      </c>
      <c r="L81" s="144">
        <v>21580.34</v>
      </c>
      <c r="M81" s="144">
        <f t="shared" si="4"/>
        <v>0</v>
      </c>
      <c r="N81" s="144">
        <f t="shared" si="4"/>
        <v>0</v>
      </c>
      <c r="O81" s="144">
        <f t="shared" si="4"/>
        <v>0</v>
      </c>
      <c r="P81" s="144">
        <f t="shared" si="4"/>
        <v>0</v>
      </c>
      <c r="Q81" s="144">
        <f t="shared" si="4"/>
        <v>0</v>
      </c>
      <c r="R81" s="144">
        <f t="shared" si="4"/>
        <v>0</v>
      </c>
    </row>
    <row r="82" spans="1:18" x14ac:dyDescent="0.25">
      <c r="A82" s="608" t="s">
        <v>35</v>
      </c>
      <c r="B82" s="609"/>
      <c r="C82" s="128">
        <f t="shared" si="3"/>
        <v>334238.17</v>
      </c>
      <c r="D82" s="145">
        <f>SUM(D66,D81)</f>
        <v>0</v>
      </c>
      <c r="E82" s="145">
        <f t="shared" ref="E82:R82" si="5">SUM(E66,E81)</f>
        <v>4089.0599999999995</v>
      </c>
      <c r="F82" s="145">
        <f t="shared" si="5"/>
        <v>2169</v>
      </c>
      <c r="G82" s="145">
        <f t="shared" si="5"/>
        <v>6455.91</v>
      </c>
      <c r="H82" s="145">
        <f t="shared" si="5"/>
        <v>5718</v>
      </c>
      <c r="I82" s="145">
        <f t="shared" si="5"/>
        <v>45558</v>
      </c>
      <c r="J82" s="145">
        <f t="shared" si="5"/>
        <v>101646</v>
      </c>
      <c r="K82" s="145">
        <f t="shared" si="5"/>
        <v>95013.049999999988</v>
      </c>
      <c r="L82" s="145">
        <f t="shared" si="5"/>
        <v>73589.149999999994</v>
      </c>
      <c r="M82" s="145">
        <f t="shared" si="5"/>
        <v>0</v>
      </c>
      <c r="N82" s="145">
        <f t="shared" si="5"/>
        <v>0</v>
      </c>
      <c r="O82" s="145">
        <f t="shared" si="5"/>
        <v>0</v>
      </c>
      <c r="P82" s="145">
        <f t="shared" si="5"/>
        <v>0</v>
      </c>
      <c r="Q82" s="145">
        <f t="shared" si="5"/>
        <v>0</v>
      </c>
      <c r="R82" s="145">
        <f t="shared" si="5"/>
        <v>0</v>
      </c>
    </row>
    <row r="83" spans="1:18" x14ac:dyDescent="0.25">
      <c r="A83" t="s">
        <v>168</v>
      </c>
      <c r="D83" t="s">
        <v>169</v>
      </c>
      <c r="E83" t="s">
        <v>169</v>
      </c>
      <c r="F83" t="s">
        <v>169</v>
      </c>
      <c r="G83" t="s">
        <v>169</v>
      </c>
      <c r="H83" t="s">
        <v>169</v>
      </c>
      <c r="I83" t="s">
        <v>169</v>
      </c>
      <c r="J83" t="s">
        <v>169</v>
      </c>
    </row>
    <row r="84" spans="1:18" x14ac:dyDescent="0.25">
      <c r="A84" t="s">
        <v>97</v>
      </c>
      <c r="H84" s="196">
        <v>44771</v>
      </c>
      <c r="J84" s="196">
        <v>44952</v>
      </c>
    </row>
  </sheetData>
  <mergeCells count="62">
    <mergeCell ref="A73:B73"/>
    <mergeCell ref="A62:B62"/>
    <mergeCell ref="A63:B63"/>
    <mergeCell ref="A64:B64"/>
    <mergeCell ref="A65:B65"/>
    <mergeCell ref="A68:B68"/>
    <mergeCell ref="A69:B69"/>
    <mergeCell ref="A70:B70"/>
    <mergeCell ref="A71:B71"/>
    <mergeCell ref="A72:B72"/>
    <mergeCell ref="A66:B66"/>
    <mergeCell ref="A67:B67"/>
    <mergeCell ref="A80:B80"/>
    <mergeCell ref="A81:B81"/>
    <mergeCell ref="A82:B82"/>
    <mergeCell ref="A74:B74"/>
    <mergeCell ref="A75:B75"/>
    <mergeCell ref="A76:B76"/>
    <mergeCell ref="A77:B77"/>
    <mergeCell ref="A78:B78"/>
    <mergeCell ref="A79:B79"/>
    <mergeCell ref="A61:B61"/>
    <mergeCell ref="A55:B55"/>
    <mergeCell ref="A56:B56"/>
    <mergeCell ref="A57:B57"/>
    <mergeCell ref="A58:B58"/>
    <mergeCell ref="A59:B59"/>
    <mergeCell ref="A60:B60"/>
    <mergeCell ref="A50:B50"/>
    <mergeCell ref="A51:R51"/>
    <mergeCell ref="A52:B52"/>
    <mergeCell ref="A53:B53"/>
    <mergeCell ref="A54:B54"/>
    <mergeCell ref="A49:B49"/>
    <mergeCell ref="A19:B19"/>
    <mergeCell ref="A20:B20"/>
    <mergeCell ref="A21:B21"/>
    <mergeCell ref="A22:B22"/>
    <mergeCell ref="A23:B23"/>
    <mergeCell ref="A37:B37"/>
    <mergeCell ref="A44:R44"/>
    <mergeCell ref="A45:B45"/>
    <mergeCell ref="A46:B46"/>
    <mergeCell ref="A47:B47"/>
    <mergeCell ref="A48:B48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:R1"/>
    <mergeCell ref="A2:R2"/>
    <mergeCell ref="A4:B4"/>
    <mergeCell ref="A5:R5"/>
    <mergeCell ref="A6:B6"/>
  </mergeCells>
  <pageMargins left="0.7" right="0.7" top="0.75" bottom="0.75" header="0.3" footer="0.3"/>
  <pageSetup orientation="portrait" horizontalDpi="204" verticalDpi="1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3B65-2D4B-4284-BE4E-E80A389C6076}">
  <sheetPr>
    <tabColor rgb="FF0070C0"/>
  </sheetPr>
  <dimension ref="A1:R84"/>
  <sheetViews>
    <sheetView tabSelected="1" workbookViewId="0">
      <pane ySplit="4" topLeftCell="A5" activePane="bottomLeft" state="frozen"/>
      <selection activeCell="V3" sqref="V3"/>
      <selection pane="bottomLeft" activeCell="AA17" sqref="AA17"/>
    </sheetView>
  </sheetViews>
  <sheetFormatPr defaultRowHeight="15" x14ac:dyDescent="0.25"/>
  <cols>
    <col min="3" max="3" width="10.140625" bestFit="1" customWidth="1"/>
    <col min="4" max="4" width="9.5703125" bestFit="1" customWidth="1"/>
    <col min="5" max="5" width="10.28515625" bestFit="1" customWidth="1"/>
    <col min="6" max="6" width="11.140625" customWidth="1"/>
    <col min="7" max="7" width="10.28515625" customWidth="1"/>
    <col min="8" max="8" width="9.5703125" bestFit="1" customWidth="1"/>
    <col min="9" max="9" width="9.85546875" bestFit="1" customWidth="1"/>
    <col min="10" max="10" width="10.42578125" customWidth="1"/>
    <col min="11" max="11" width="10.140625" bestFit="1" customWidth="1"/>
    <col min="12" max="12" width="9.5703125" bestFit="1" customWidth="1"/>
    <col min="13" max="16" width="9.140625" customWidth="1"/>
    <col min="17" max="18" width="9.5703125" bestFit="1" customWidth="1"/>
  </cols>
  <sheetData>
    <row r="1" spans="1:18" ht="33.75" x14ac:dyDescent="0.5">
      <c r="A1" s="623" t="s">
        <v>267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</row>
    <row r="2" spans="1:18" ht="15.75" thickBot="1" x14ac:dyDescent="0.3">
      <c r="A2" s="624" t="s">
        <v>80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</row>
    <row r="3" spans="1:18" ht="21.75" thickBot="1" x14ac:dyDescent="0.4">
      <c r="A3" s="58"/>
      <c r="B3" s="56"/>
      <c r="C3" s="59" t="s">
        <v>81</v>
      </c>
      <c r="D3" s="72">
        <v>2021</v>
      </c>
      <c r="E3" s="57"/>
      <c r="F3" s="63"/>
      <c r="G3" s="73">
        <v>2022</v>
      </c>
      <c r="H3" s="66"/>
      <c r="I3" s="66"/>
      <c r="J3" s="67"/>
      <c r="K3" s="74">
        <v>2023</v>
      </c>
      <c r="L3" s="68"/>
      <c r="M3" s="68"/>
      <c r="N3" s="69"/>
      <c r="O3" s="75">
        <v>2024</v>
      </c>
      <c r="P3" s="70"/>
      <c r="Q3" s="70"/>
      <c r="R3" s="71"/>
    </row>
    <row r="4" spans="1:18" ht="15.75" thickBot="1" x14ac:dyDescent="0.3">
      <c r="A4" s="567" t="s">
        <v>15</v>
      </c>
      <c r="B4" s="568"/>
      <c r="C4" s="55" t="s">
        <v>83</v>
      </c>
      <c r="D4" s="64" t="s">
        <v>76</v>
      </c>
      <c r="E4" s="60" t="s">
        <v>77</v>
      </c>
      <c r="F4" s="65" t="s">
        <v>78</v>
      </c>
      <c r="G4" s="64" t="s">
        <v>76</v>
      </c>
      <c r="H4" s="60" t="s">
        <v>77</v>
      </c>
      <c r="I4" s="61" t="s">
        <v>78</v>
      </c>
      <c r="J4" s="62" t="s">
        <v>79</v>
      </c>
      <c r="K4" s="64" t="s">
        <v>76</v>
      </c>
      <c r="L4" s="60" t="s">
        <v>77</v>
      </c>
      <c r="M4" s="61" t="s">
        <v>78</v>
      </c>
      <c r="N4" s="62" t="s">
        <v>79</v>
      </c>
      <c r="O4" s="64" t="s">
        <v>76</v>
      </c>
      <c r="P4" s="60" t="s">
        <v>77</v>
      </c>
      <c r="Q4" s="61" t="s">
        <v>78</v>
      </c>
      <c r="R4" s="62" t="s">
        <v>79</v>
      </c>
    </row>
    <row r="5" spans="1:18" ht="15.75" x14ac:dyDescent="0.25">
      <c r="A5" s="614" t="s">
        <v>86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  <c r="R5" s="616"/>
    </row>
    <row r="6" spans="1:18" ht="15.75" x14ac:dyDescent="0.25">
      <c r="A6" s="618" t="s">
        <v>38</v>
      </c>
      <c r="B6" s="618"/>
      <c r="C6" s="253" t="s">
        <v>92</v>
      </c>
      <c r="D6" s="254"/>
      <c r="E6" s="254"/>
      <c r="F6" s="254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</row>
    <row r="7" spans="1:18" ht="15.75" thickBot="1" x14ac:dyDescent="0.3">
      <c r="A7" s="610" t="s">
        <v>39</v>
      </c>
      <c r="B7" s="611"/>
      <c r="C7" s="100">
        <f>SUM(D7:R7)</f>
        <v>1</v>
      </c>
      <c r="D7" s="251">
        <v>1</v>
      </c>
      <c r="E7" s="251"/>
      <c r="F7" s="251"/>
      <c r="G7" s="40"/>
      <c r="H7" s="40"/>
      <c r="I7" s="184"/>
      <c r="J7" s="184"/>
      <c r="K7" s="184"/>
      <c r="L7" s="247"/>
      <c r="M7" s="252"/>
      <c r="N7" s="252"/>
      <c r="O7" s="252"/>
      <c r="P7" s="252"/>
      <c r="Q7" s="252"/>
      <c r="R7" s="252"/>
    </row>
    <row r="8" spans="1:18" ht="15.75" thickBot="1" x14ac:dyDescent="0.3">
      <c r="A8" s="578" t="s">
        <v>40</v>
      </c>
      <c r="B8" s="579"/>
      <c r="C8" s="99">
        <f>SUM(D8:R8)</f>
        <v>0</v>
      </c>
      <c r="D8" s="116"/>
      <c r="E8" s="116"/>
      <c r="F8" s="116"/>
      <c r="G8" s="41"/>
      <c r="H8" s="40"/>
      <c r="I8" s="185"/>
      <c r="J8" s="185"/>
      <c r="K8" s="185"/>
      <c r="L8" s="248"/>
      <c r="M8" s="78"/>
      <c r="N8" s="78"/>
      <c r="O8" s="78"/>
      <c r="P8" s="78"/>
      <c r="Q8" s="78"/>
      <c r="R8" s="78"/>
    </row>
    <row r="9" spans="1:18" x14ac:dyDescent="0.25">
      <c r="A9" s="619" t="s">
        <v>41</v>
      </c>
      <c r="B9" s="620"/>
      <c r="C9" s="250">
        <f>SUM(D9:R9)</f>
        <v>0</v>
      </c>
      <c r="D9" s="117"/>
      <c r="E9" s="117"/>
      <c r="F9" s="117"/>
      <c r="G9" s="42"/>
      <c r="H9" s="269"/>
      <c r="I9" s="186"/>
      <c r="J9" s="186"/>
      <c r="K9" s="186"/>
      <c r="L9" s="249"/>
      <c r="M9" s="94"/>
      <c r="N9" s="94"/>
      <c r="O9" s="94"/>
      <c r="P9" s="94"/>
      <c r="Q9" s="94"/>
      <c r="R9" s="94"/>
    </row>
    <row r="10" spans="1:18" ht="15.75" x14ac:dyDescent="0.25">
      <c r="A10" s="618" t="s">
        <v>42</v>
      </c>
      <c r="B10" s="618"/>
      <c r="C10" s="253"/>
      <c r="D10" s="254"/>
      <c r="E10" s="254"/>
      <c r="F10" s="254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</row>
    <row r="11" spans="1:18" x14ac:dyDescent="0.25">
      <c r="A11" s="610" t="s">
        <v>43</v>
      </c>
      <c r="B11" s="611"/>
      <c r="C11" s="100">
        <f>SUM(D11:R11)</f>
        <v>0</v>
      </c>
      <c r="D11" s="251"/>
      <c r="E11" s="251"/>
      <c r="F11" s="40"/>
      <c r="G11" s="40"/>
      <c r="H11" s="40"/>
      <c r="I11" s="184"/>
      <c r="J11" s="184"/>
      <c r="K11" s="184"/>
      <c r="L11" s="247"/>
      <c r="M11" s="252"/>
      <c r="N11" s="252"/>
      <c r="O11" s="252"/>
      <c r="P11" s="252"/>
      <c r="Q11" s="252"/>
      <c r="R11" s="252"/>
    </row>
    <row r="12" spans="1:18" x14ac:dyDescent="0.25">
      <c r="A12" s="578" t="s">
        <v>44</v>
      </c>
      <c r="B12" s="579"/>
      <c r="C12" s="100">
        <f>SUM(D12:R12)</f>
        <v>0</v>
      </c>
      <c r="D12" s="116"/>
      <c r="E12" s="116"/>
      <c r="F12" s="41"/>
      <c r="G12" s="40"/>
      <c r="H12" s="40"/>
      <c r="I12" s="185"/>
      <c r="J12" s="185"/>
      <c r="K12" s="185"/>
      <c r="L12" s="248"/>
      <c r="M12" s="78"/>
      <c r="N12" s="78"/>
      <c r="O12" s="78"/>
      <c r="P12" s="78"/>
      <c r="Q12" s="78"/>
      <c r="R12" s="78"/>
    </row>
    <row r="13" spans="1:18" x14ac:dyDescent="0.25">
      <c r="A13" s="578" t="s">
        <v>45</v>
      </c>
      <c r="B13" s="579"/>
      <c r="C13" s="100">
        <f>SUM(D13:R13)</f>
        <v>0</v>
      </c>
      <c r="D13" s="116"/>
      <c r="E13" s="116"/>
      <c r="F13" s="41"/>
      <c r="G13" s="40"/>
      <c r="H13" s="40"/>
      <c r="I13" s="185"/>
      <c r="J13" s="185"/>
      <c r="K13" s="185"/>
      <c r="L13" s="248"/>
      <c r="M13" s="78"/>
      <c r="N13" s="78"/>
      <c r="O13" s="78"/>
      <c r="P13" s="78"/>
      <c r="Q13" s="78"/>
      <c r="R13" s="78"/>
    </row>
    <row r="14" spans="1:18" x14ac:dyDescent="0.25">
      <c r="A14" s="619" t="s">
        <v>46</v>
      </c>
      <c r="B14" s="620"/>
      <c r="C14" s="120">
        <f>SUM(D14:R14)</f>
        <v>0</v>
      </c>
      <c r="D14" s="117"/>
      <c r="E14" s="117"/>
      <c r="F14" s="42"/>
      <c r="G14" s="269"/>
      <c r="H14" s="269"/>
      <c r="I14" s="186"/>
      <c r="J14" s="186"/>
      <c r="K14" s="186"/>
      <c r="L14" s="249"/>
      <c r="M14" s="94"/>
      <c r="N14" s="94"/>
      <c r="O14" s="94"/>
      <c r="P14" s="94"/>
      <c r="Q14" s="94"/>
      <c r="R14" s="94"/>
    </row>
    <row r="15" spans="1:18" ht="15.75" x14ac:dyDescent="0.25">
      <c r="A15" s="618" t="s">
        <v>47</v>
      </c>
      <c r="B15" s="618"/>
      <c r="C15" s="253"/>
      <c r="D15" s="254"/>
      <c r="E15" s="254"/>
      <c r="F15" s="254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</row>
    <row r="16" spans="1:18" x14ac:dyDescent="0.25">
      <c r="A16" s="610" t="s">
        <v>48</v>
      </c>
      <c r="B16" s="611"/>
      <c r="C16" s="100">
        <f>SUM(D16:R16)</f>
        <v>0</v>
      </c>
      <c r="D16" s="251"/>
      <c r="E16" s="251"/>
      <c r="F16" s="40"/>
      <c r="G16" s="40"/>
      <c r="H16" s="40"/>
      <c r="I16" s="184"/>
      <c r="J16" s="184"/>
      <c r="K16" s="184"/>
      <c r="L16" s="247"/>
      <c r="M16" s="252"/>
      <c r="N16" s="252"/>
      <c r="O16" s="252"/>
      <c r="P16" s="252"/>
      <c r="Q16" s="252"/>
      <c r="R16" s="252"/>
    </row>
    <row r="17" spans="1:18" x14ac:dyDescent="0.25">
      <c r="A17" s="578" t="s">
        <v>49</v>
      </c>
      <c r="B17" s="579"/>
      <c r="C17" s="100">
        <f>SUM(D17:R17)</f>
        <v>0</v>
      </c>
      <c r="D17" s="116"/>
      <c r="E17" s="116"/>
      <c r="F17" s="41"/>
      <c r="G17" s="40"/>
      <c r="H17" s="40"/>
      <c r="I17" s="185"/>
      <c r="J17" s="185"/>
      <c r="K17" s="185"/>
      <c r="L17" s="248"/>
      <c r="M17" s="78"/>
      <c r="N17" s="78"/>
      <c r="O17" s="78"/>
      <c r="P17" s="78"/>
      <c r="Q17" s="78"/>
      <c r="R17" s="78"/>
    </row>
    <row r="18" spans="1:18" x14ac:dyDescent="0.25">
      <c r="A18" s="619" t="s">
        <v>41</v>
      </c>
      <c r="B18" s="620"/>
      <c r="C18" s="120">
        <f>SUM(D18:R18)</f>
        <v>0</v>
      </c>
      <c r="D18" s="117"/>
      <c r="E18" s="117"/>
      <c r="F18" s="42"/>
      <c r="G18" s="269"/>
      <c r="H18" s="269"/>
      <c r="I18" s="186"/>
      <c r="J18" s="186"/>
      <c r="K18" s="186"/>
      <c r="L18" s="249"/>
      <c r="M18" s="94"/>
      <c r="N18" s="94"/>
      <c r="O18" s="94"/>
      <c r="P18" s="94"/>
      <c r="Q18" s="94"/>
      <c r="R18" s="94"/>
    </row>
    <row r="19" spans="1:18" ht="15.75" x14ac:dyDescent="0.25">
      <c r="A19" s="618" t="s">
        <v>50</v>
      </c>
      <c r="B19" s="618"/>
      <c r="C19" s="253"/>
      <c r="D19" s="254"/>
      <c r="E19" s="254"/>
      <c r="F19" s="254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</row>
    <row r="20" spans="1:18" x14ac:dyDescent="0.25">
      <c r="A20" s="610" t="s">
        <v>48</v>
      </c>
      <c r="B20" s="611"/>
      <c r="C20" s="100">
        <f>SUM(D20:R20)</f>
        <v>0</v>
      </c>
      <c r="D20" s="251"/>
      <c r="E20" s="251"/>
      <c r="F20" s="40"/>
      <c r="G20" s="40"/>
      <c r="H20" s="40"/>
      <c r="I20" s="184"/>
      <c r="J20" s="184"/>
      <c r="K20" s="184"/>
      <c r="L20" s="247"/>
      <c r="M20" s="252"/>
      <c r="N20" s="252"/>
      <c r="O20" s="252"/>
      <c r="P20" s="252"/>
      <c r="Q20" s="252"/>
      <c r="R20" s="252"/>
    </row>
    <row r="21" spans="1:18" x14ac:dyDescent="0.25">
      <c r="A21" s="579" t="s">
        <v>49</v>
      </c>
      <c r="B21" s="579"/>
      <c r="C21" s="100">
        <f>SUM(D21:R21)</f>
        <v>0</v>
      </c>
      <c r="D21" s="116"/>
      <c r="E21" s="116"/>
      <c r="F21" s="41"/>
      <c r="G21" s="40"/>
      <c r="H21" s="40"/>
      <c r="I21" s="185"/>
      <c r="J21" s="185"/>
      <c r="K21" s="185"/>
      <c r="L21" s="248"/>
      <c r="M21" s="78"/>
      <c r="N21" s="78"/>
      <c r="O21" s="78"/>
      <c r="P21" s="78"/>
      <c r="Q21" s="78"/>
      <c r="R21" s="78"/>
    </row>
    <row r="22" spans="1:18" x14ac:dyDescent="0.25">
      <c r="A22" s="619" t="s">
        <v>41</v>
      </c>
      <c r="B22" s="620"/>
      <c r="C22" s="120">
        <f>SUM(D22:R22)</f>
        <v>0</v>
      </c>
      <c r="D22" s="117"/>
      <c r="E22" s="117"/>
      <c r="F22" s="42"/>
      <c r="G22" s="269"/>
      <c r="H22" s="269"/>
      <c r="I22" s="186"/>
      <c r="J22" s="186"/>
      <c r="K22" s="186"/>
      <c r="L22" s="249"/>
      <c r="M22" s="94"/>
      <c r="N22" s="94"/>
      <c r="O22" s="94"/>
      <c r="P22" s="94"/>
      <c r="Q22" s="94"/>
      <c r="R22" s="94"/>
    </row>
    <row r="23" spans="1:18" ht="15.75" x14ac:dyDescent="0.25">
      <c r="A23" s="618" t="s">
        <v>51</v>
      </c>
      <c r="B23" s="618"/>
      <c r="C23" s="253"/>
      <c r="D23" s="254"/>
      <c r="E23" s="254"/>
      <c r="F23" s="254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</row>
    <row r="24" spans="1:18" x14ac:dyDescent="0.25">
      <c r="A24" s="79" t="s">
        <v>48</v>
      </c>
      <c r="B24" s="80"/>
      <c r="C24" s="100">
        <f>SUM(D24:R24)</f>
        <v>0</v>
      </c>
      <c r="D24" s="251"/>
      <c r="E24" s="251"/>
      <c r="F24" s="40"/>
      <c r="G24" s="40"/>
      <c r="H24" s="40"/>
      <c r="I24" s="184"/>
      <c r="J24" s="184"/>
      <c r="K24" s="184"/>
      <c r="L24" s="247"/>
      <c r="M24" s="252"/>
      <c r="N24" s="252"/>
      <c r="O24" s="252"/>
      <c r="P24" s="252"/>
      <c r="Q24" s="252"/>
      <c r="R24" s="252"/>
    </row>
    <row r="25" spans="1:18" x14ac:dyDescent="0.25">
      <c r="A25" s="81" t="s">
        <v>49</v>
      </c>
      <c r="B25" s="82"/>
      <c r="C25" s="100">
        <f>SUM(D25:R25)</f>
        <v>0</v>
      </c>
      <c r="D25" s="116"/>
      <c r="E25" s="116"/>
      <c r="F25" s="41"/>
      <c r="G25" s="40"/>
      <c r="H25" s="40"/>
      <c r="I25" s="185"/>
      <c r="J25" s="185"/>
      <c r="K25" s="185"/>
      <c r="L25" s="248"/>
      <c r="M25" s="78"/>
      <c r="N25" s="78"/>
      <c r="O25" s="78"/>
      <c r="P25" s="78"/>
      <c r="Q25" s="78"/>
      <c r="R25" s="78"/>
    </row>
    <row r="26" spans="1:18" ht="15.75" thickBot="1" x14ac:dyDescent="0.3">
      <c r="A26" s="83" t="s">
        <v>41</v>
      </c>
      <c r="B26" s="84"/>
      <c r="C26" s="120">
        <f>SUM(D26:R26)</f>
        <v>0</v>
      </c>
      <c r="D26" s="117"/>
      <c r="E26" s="117"/>
      <c r="F26" s="42"/>
      <c r="G26" s="269"/>
      <c r="H26" s="269"/>
      <c r="I26" s="186"/>
      <c r="J26" s="186"/>
      <c r="K26" s="186"/>
      <c r="L26" s="249"/>
      <c r="M26" s="94"/>
      <c r="N26" s="94"/>
      <c r="O26" s="94"/>
      <c r="P26" s="94"/>
      <c r="Q26" s="94"/>
      <c r="R26" s="94"/>
    </row>
    <row r="27" spans="1:18" ht="16.5" thickBot="1" x14ac:dyDescent="0.3">
      <c r="A27" s="112" t="s">
        <v>52</v>
      </c>
      <c r="B27" s="254"/>
      <c r="C27" s="253"/>
      <c r="D27" s="254"/>
      <c r="E27" s="254"/>
      <c r="F27" s="254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</row>
    <row r="28" spans="1:18" x14ac:dyDescent="0.25">
      <c r="A28" s="79" t="s">
        <v>48</v>
      </c>
      <c r="B28" s="80"/>
      <c r="C28" s="100">
        <f t="shared" ref="C28:C43" si="0">SUM(D28:R28)</f>
        <v>0</v>
      </c>
      <c r="D28" s="251"/>
      <c r="E28" s="251"/>
      <c r="F28" s="40"/>
      <c r="G28" s="40"/>
      <c r="H28" s="40"/>
      <c r="I28" s="184"/>
      <c r="J28" s="184"/>
      <c r="K28" s="184"/>
      <c r="L28" s="247"/>
      <c r="M28" s="252"/>
      <c r="N28" s="252"/>
      <c r="O28" s="252"/>
      <c r="P28" s="252"/>
      <c r="Q28" s="252"/>
      <c r="R28" s="252"/>
    </row>
    <row r="29" spans="1:18" x14ac:dyDescent="0.25">
      <c r="A29" s="81" t="s">
        <v>49</v>
      </c>
      <c r="B29" s="82"/>
      <c r="C29" s="100">
        <f t="shared" si="0"/>
        <v>0</v>
      </c>
      <c r="D29" s="116"/>
      <c r="E29" s="116"/>
      <c r="F29" s="41"/>
      <c r="G29" s="40"/>
      <c r="H29" s="40"/>
      <c r="I29" s="185"/>
      <c r="J29" s="185"/>
      <c r="K29" s="185"/>
      <c r="L29" s="248"/>
      <c r="M29" s="78"/>
      <c r="N29" s="78"/>
      <c r="O29" s="78"/>
      <c r="P29" s="78"/>
      <c r="Q29" s="78"/>
      <c r="R29" s="78"/>
    </row>
    <row r="30" spans="1:18" x14ac:dyDescent="0.25">
      <c r="A30" s="85" t="s">
        <v>41</v>
      </c>
      <c r="B30" s="80"/>
      <c r="C30" s="100">
        <f t="shared" si="0"/>
        <v>0</v>
      </c>
      <c r="D30" s="116"/>
      <c r="E30" s="116"/>
      <c r="F30" s="41"/>
      <c r="G30" s="40"/>
      <c r="H30" s="40"/>
      <c r="I30" s="185"/>
      <c r="J30" s="185"/>
      <c r="K30" s="185"/>
      <c r="L30" s="248"/>
      <c r="M30" s="78"/>
      <c r="N30" s="78"/>
      <c r="O30" s="78"/>
      <c r="P30" s="78"/>
      <c r="Q30" s="78"/>
      <c r="R30" s="78"/>
    </row>
    <row r="31" spans="1:18" x14ac:dyDescent="0.25">
      <c r="A31" s="86" t="s">
        <v>53</v>
      </c>
      <c r="B31" s="87"/>
      <c r="C31" s="100">
        <f t="shared" si="0"/>
        <v>0</v>
      </c>
      <c r="D31" s="116"/>
      <c r="E31" s="116"/>
      <c r="F31" s="41"/>
      <c r="G31" s="40"/>
      <c r="H31" s="40"/>
      <c r="I31" s="185"/>
      <c r="J31" s="185"/>
      <c r="K31" s="185"/>
      <c r="L31" s="248"/>
      <c r="M31" s="78"/>
      <c r="N31" s="78"/>
      <c r="O31" s="78"/>
      <c r="P31" s="78"/>
      <c r="Q31" s="78"/>
      <c r="R31" s="78"/>
    </row>
    <row r="32" spans="1:18" x14ac:dyDescent="0.25">
      <c r="A32" s="86" t="s">
        <v>54</v>
      </c>
      <c r="B32" s="87"/>
      <c r="C32" s="100">
        <f t="shared" si="0"/>
        <v>0</v>
      </c>
      <c r="D32" s="116"/>
      <c r="E32" s="116"/>
      <c r="F32" s="41"/>
      <c r="G32" s="40"/>
      <c r="H32" s="40"/>
      <c r="I32" s="185"/>
      <c r="J32" s="185"/>
      <c r="K32" s="185"/>
      <c r="L32" s="248"/>
      <c r="M32" s="78"/>
      <c r="N32" s="78"/>
      <c r="O32" s="78"/>
      <c r="P32" s="78"/>
      <c r="Q32" s="78"/>
      <c r="R32" s="78"/>
    </row>
    <row r="33" spans="1:18" x14ac:dyDescent="0.25">
      <c r="A33" s="86" t="s">
        <v>55</v>
      </c>
      <c r="B33" s="87"/>
      <c r="C33" s="100">
        <f t="shared" si="0"/>
        <v>0</v>
      </c>
      <c r="D33" s="116"/>
      <c r="E33" s="116"/>
      <c r="F33" s="41"/>
      <c r="G33" s="40"/>
      <c r="H33" s="40"/>
      <c r="I33" s="185"/>
      <c r="J33" s="185"/>
      <c r="K33" s="185"/>
      <c r="L33" s="248"/>
      <c r="M33" s="78"/>
      <c r="N33" s="78"/>
      <c r="O33" s="78"/>
      <c r="P33" s="78"/>
      <c r="Q33" s="78"/>
      <c r="R33" s="78"/>
    </row>
    <row r="34" spans="1:18" x14ac:dyDescent="0.25">
      <c r="A34" s="86" t="s">
        <v>56</v>
      </c>
      <c r="B34" s="87"/>
      <c r="C34" s="100">
        <f t="shared" si="0"/>
        <v>0</v>
      </c>
      <c r="D34" s="116"/>
      <c r="E34" s="116"/>
      <c r="F34" s="41"/>
      <c r="G34" s="40"/>
      <c r="H34" s="40"/>
      <c r="I34" s="185"/>
      <c r="J34" s="185"/>
      <c r="K34" s="185"/>
      <c r="L34" s="248"/>
      <c r="M34" s="78"/>
      <c r="N34" s="78"/>
      <c r="O34" s="78"/>
      <c r="P34" s="78"/>
      <c r="Q34" s="78"/>
      <c r="R34" s="78"/>
    </row>
    <row r="35" spans="1:18" x14ac:dyDescent="0.25">
      <c r="A35" s="86" t="s">
        <v>57</v>
      </c>
      <c r="B35" s="88"/>
      <c r="C35" s="100">
        <f t="shared" si="0"/>
        <v>0</v>
      </c>
      <c r="D35" s="116"/>
      <c r="E35" s="116"/>
      <c r="F35" s="41"/>
      <c r="G35" s="40"/>
      <c r="H35" s="40"/>
      <c r="I35" s="185"/>
      <c r="J35" s="185"/>
      <c r="K35" s="185"/>
      <c r="L35" s="248"/>
      <c r="M35" s="78"/>
      <c r="N35" s="78"/>
      <c r="O35" s="78"/>
      <c r="P35" s="78"/>
      <c r="Q35" s="78"/>
      <c r="R35" s="78"/>
    </row>
    <row r="36" spans="1:18" x14ac:dyDescent="0.25">
      <c r="A36" s="89" t="s">
        <v>58</v>
      </c>
      <c r="B36" s="87"/>
      <c r="C36" s="100">
        <f t="shared" si="0"/>
        <v>0</v>
      </c>
      <c r="D36" s="116"/>
      <c r="E36" s="116"/>
      <c r="F36" s="41"/>
      <c r="G36" s="40"/>
      <c r="H36" s="40"/>
      <c r="I36" s="185"/>
      <c r="J36" s="185"/>
      <c r="K36" s="185"/>
      <c r="L36" s="248"/>
      <c r="M36" s="78"/>
      <c r="N36" s="78"/>
      <c r="O36" s="78"/>
      <c r="P36" s="78"/>
      <c r="Q36" s="78"/>
      <c r="R36" s="78"/>
    </row>
    <row r="37" spans="1:18" x14ac:dyDescent="0.25">
      <c r="A37" s="583" t="s">
        <v>59</v>
      </c>
      <c r="B37" s="584"/>
      <c r="C37" s="100">
        <f t="shared" si="0"/>
        <v>0</v>
      </c>
      <c r="D37" s="116"/>
      <c r="E37" s="116"/>
      <c r="F37" s="41"/>
      <c r="G37" s="40"/>
      <c r="H37" s="40"/>
      <c r="I37" s="185"/>
      <c r="J37" s="185"/>
      <c r="K37" s="185"/>
      <c r="L37" s="248"/>
      <c r="M37" s="78"/>
      <c r="N37" s="78"/>
      <c r="O37" s="78"/>
      <c r="P37" s="78"/>
      <c r="Q37" s="78"/>
      <c r="R37" s="78"/>
    </row>
    <row r="38" spans="1:18" x14ac:dyDescent="0.25">
      <c r="A38" s="86" t="s">
        <v>60</v>
      </c>
      <c r="B38" s="87"/>
      <c r="C38" s="100">
        <f t="shared" si="0"/>
        <v>0</v>
      </c>
      <c r="D38" s="116"/>
      <c r="E38" s="116"/>
      <c r="F38" s="41"/>
      <c r="G38" s="40"/>
      <c r="H38" s="40"/>
      <c r="I38" s="185"/>
      <c r="J38" s="185"/>
      <c r="K38" s="185"/>
      <c r="L38" s="248"/>
      <c r="M38" s="78"/>
      <c r="N38" s="78"/>
      <c r="O38" s="78"/>
      <c r="P38" s="78"/>
      <c r="Q38" s="78"/>
      <c r="R38" s="78"/>
    </row>
    <row r="39" spans="1:18" x14ac:dyDescent="0.25">
      <c r="A39" s="89" t="s">
        <v>61</v>
      </c>
      <c r="B39" s="90"/>
      <c r="C39" s="100">
        <f t="shared" si="0"/>
        <v>0</v>
      </c>
      <c r="D39" s="116"/>
      <c r="E39" s="116"/>
      <c r="F39" s="41"/>
      <c r="G39" s="40"/>
      <c r="H39" s="40"/>
      <c r="I39" s="185"/>
      <c r="J39" s="185"/>
      <c r="K39" s="185"/>
      <c r="L39" s="248"/>
      <c r="M39" s="78"/>
      <c r="N39" s="78"/>
      <c r="O39" s="78"/>
      <c r="P39" s="78"/>
      <c r="Q39" s="78"/>
      <c r="R39" s="78"/>
    </row>
    <row r="40" spans="1:18" x14ac:dyDescent="0.25">
      <c r="A40" s="91" t="s">
        <v>62</v>
      </c>
      <c r="B40" s="87"/>
      <c r="C40" s="100">
        <f t="shared" si="0"/>
        <v>0</v>
      </c>
      <c r="D40" s="116"/>
      <c r="E40" s="116"/>
      <c r="F40" s="41"/>
      <c r="G40" s="40"/>
      <c r="H40" s="40"/>
      <c r="I40" s="185"/>
      <c r="J40" s="185"/>
      <c r="K40" s="185"/>
      <c r="L40" s="248"/>
      <c r="M40" s="78"/>
      <c r="N40" s="78"/>
      <c r="O40" s="78"/>
      <c r="P40" s="78"/>
      <c r="Q40" s="78"/>
      <c r="R40" s="78"/>
    </row>
    <row r="41" spans="1:18" x14ac:dyDescent="0.25">
      <c r="A41" s="86" t="s">
        <v>63</v>
      </c>
      <c r="B41" s="90"/>
      <c r="C41" s="100">
        <f t="shared" si="0"/>
        <v>0</v>
      </c>
      <c r="D41" s="116"/>
      <c r="E41" s="116"/>
      <c r="F41" s="41"/>
      <c r="G41" s="40"/>
      <c r="H41" s="40"/>
      <c r="I41" s="185"/>
      <c r="J41" s="185"/>
      <c r="K41" s="185"/>
      <c r="L41" s="248"/>
      <c r="M41" s="78"/>
      <c r="N41" s="78"/>
      <c r="O41" s="78"/>
      <c r="P41" s="78"/>
      <c r="Q41" s="78"/>
      <c r="R41" s="78"/>
    </row>
    <row r="42" spans="1:18" x14ac:dyDescent="0.25">
      <c r="A42" s="86" t="s">
        <v>64</v>
      </c>
      <c r="B42" s="87"/>
      <c r="C42" s="100">
        <f t="shared" si="0"/>
        <v>0</v>
      </c>
      <c r="D42" s="116"/>
      <c r="E42" s="116"/>
      <c r="F42" s="41"/>
      <c r="G42" s="40"/>
      <c r="H42" s="40"/>
      <c r="I42" s="185"/>
      <c r="J42" s="185"/>
      <c r="K42" s="185"/>
      <c r="L42" s="248"/>
      <c r="M42" s="78"/>
      <c r="N42" s="78"/>
      <c r="O42" s="78"/>
      <c r="P42" s="78"/>
      <c r="Q42" s="78"/>
      <c r="R42" s="78"/>
    </row>
    <row r="43" spans="1:18" ht="15.75" thickBot="1" x14ac:dyDescent="0.3">
      <c r="A43" s="92" t="s">
        <v>65</v>
      </c>
      <c r="B43" s="88"/>
      <c r="C43" s="100">
        <f t="shared" si="0"/>
        <v>0</v>
      </c>
      <c r="D43" s="117"/>
      <c r="E43" s="117"/>
      <c r="F43" s="42"/>
      <c r="G43" s="40"/>
      <c r="H43" s="40"/>
      <c r="I43" s="186"/>
      <c r="J43" s="186"/>
      <c r="K43" s="186"/>
      <c r="L43" s="249"/>
      <c r="M43" s="94"/>
      <c r="N43" s="94"/>
      <c r="O43" s="94"/>
      <c r="P43" s="94"/>
      <c r="Q43" s="94"/>
      <c r="R43" s="94"/>
    </row>
    <row r="44" spans="1:18" ht="16.5" thickBot="1" x14ac:dyDescent="0.3">
      <c r="A44" s="585" t="s">
        <v>84</v>
      </c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7"/>
    </row>
    <row r="45" spans="1:18" ht="24.95" customHeight="1" thickBot="1" x14ac:dyDescent="0.3">
      <c r="A45" s="588" t="s">
        <v>278</v>
      </c>
      <c r="B45" s="589"/>
      <c r="C45" s="99">
        <f t="shared" ref="C45:C50" si="1">SUM(D45:R45)</f>
        <v>94</v>
      </c>
      <c r="D45" s="113"/>
      <c r="E45" s="113">
        <v>0</v>
      </c>
      <c r="F45" s="40">
        <v>2</v>
      </c>
      <c r="G45" s="40">
        <v>0</v>
      </c>
      <c r="H45" s="40">
        <v>0</v>
      </c>
      <c r="I45" s="184">
        <v>1</v>
      </c>
      <c r="J45" s="184">
        <v>1</v>
      </c>
      <c r="K45" s="184">
        <v>32</v>
      </c>
      <c r="L45" s="247">
        <v>58</v>
      </c>
      <c r="M45" s="95"/>
      <c r="N45" s="95"/>
      <c r="O45" s="95"/>
      <c r="P45" s="95"/>
      <c r="Q45" s="95"/>
      <c r="R45" s="95"/>
    </row>
    <row r="46" spans="1:18" ht="24.95" customHeight="1" thickBot="1" x14ac:dyDescent="0.3">
      <c r="A46" s="581" t="s">
        <v>279</v>
      </c>
      <c r="B46" s="582"/>
      <c r="C46" s="99">
        <f t="shared" si="1"/>
        <v>53</v>
      </c>
      <c r="D46" s="114"/>
      <c r="E46" s="114">
        <v>0</v>
      </c>
      <c r="F46" s="41">
        <v>2</v>
      </c>
      <c r="G46" s="41">
        <v>0</v>
      </c>
      <c r="H46" s="40">
        <v>0</v>
      </c>
      <c r="I46" s="185">
        <v>1</v>
      </c>
      <c r="J46" s="185">
        <v>1</v>
      </c>
      <c r="K46" s="185">
        <v>2</v>
      </c>
      <c r="L46" s="248">
        <v>47</v>
      </c>
      <c r="M46" s="93"/>
      <c r="N46" s="93"/>
      <c r="O46" s="93"/>
      <c r="P46" s="93"/>
      <c r="Q46" s="93"/>
      <c r="R46" s="93"/>
    </row>
    <row r="47" spans="1:18" ht="24.95" customHeight="1" thickBot="1" x14ac:dyDescent="0.3">
      <c r="A47" s="581" t="s">
        <v>280</v>
      </c>
      <c r="B47" s="582"/>
      <c r="C47" s="99">
        <f t="shared" si="1"/>
        <v>28</v>
      </c>
      <c r="D47" s="114"/>
      <c r="E47" s="114">
        <v>0</v>
      </c>
      <c r="F47" s="41">
        <v>1</v>
      </c>
      <c r="G47" s="41">
        <v>0</v>
      </c>
      <c r="H47" s="40">
        <v>0</v>
      </c>
      <c r="I47" s="185">
        <v>0</v>
      </c>
      <c r="J47" s="185">
        <v>0</v>
      </c>
      <c r="K47" s="185">
        <v>0</v>
      </c>
      <c r="L47" s="248">
        <v>27</v>
      </c>
      <c r="M47" s="93"/>
      <c r="N47" s="93"/>
      <c r="O47" s="93"/>
      <c r="P47" s="93"/>
      <c r="Q47" s="93"/>
      <c r="R47" s="93"/>
    </row>
    <row r="48" spans="1:18" ht="24.95" customHeight="1" thickBot="1" x14ac:dyDescent="0.3">
      <c r="A48" s="581" t="s">
        <v>281</v>
      </c>
      <c r="B48" s="582"/>
      <c r="C48" s="99">
        <f t="shared" si="1"/>
        <v>20</v>
      </c>
      <c r="D48" s="114"/>
      <c r="E48" s="114">
        <v>0</v>
      </c>
      <c r="F48" s="41">
        <v>1</v>
      </c>
      <c r="G48" s="41">
        <v>0</v>
      </c>
      <c r="H48" s="40">
        <v>0</v>
      </c>
      <c r="I48" s="185">
        <v>0</v>
      </c>
      <c r="J48" s="185">
        <v>0</v>
      </c>
      <c r="K48" s="185">
        <v>0</v>
      </c>
      <c r="L48" s="248">
        <v>19</v>
      </c>
      <c r="M48" s="93"/>
      <c r="N48" s="93"/>
      <c r="O48" s="93"/>
      <c r="P48" s="93"/>
      <c r="Q48" s="93"/>
      <c r="R48" s="93"/>
    </row>
    <row r="49" spans="1:18" ht="24.95" customHeight="1" thickBot="1" x14ac:dyDescent="0.3">
      <c r="A49" s="581" t="s">
        <v>274</v>
      </c>
      <c r="B49" s="582"/>
      <c r="C49" s="99">
        <f t="shared" si="1"/>
        <v>7</v>
      </c>
      <c r="D49" s="114"/>
      <c r="E49" s="114">
        <v>0</v>
      </c>
      <c r="F49" s="41">
        <v>1</v>
      </c>
      <c r="G49" s="41">
        <v>0</v>
      </c>
      <c r="H49" s="40">
        <v>0</v>
      </c>
      <c r="I49" s="185">
        <v>0</v>
      </c>
      <c r="J49" s="185">
        <v>0</v>
      </c>
      <c r="K49" s="185">
        <v>0</v>
      </c>
      <c r="L49" s="248">
        <v>6</v>
      </c>
      <c r="M49" s="93"/>
      <c r="N49" s="93"/>
      <c r="O49" s="93"/>
      <c r="P49" s="93"/>
      <c r="Q49" s="93"/>
      <c r="R49" s="93"/>
    </row>
    <row r="50" spans="1:18" ht="24.95" customHeight="1" thickBot="1" x14ac:dyDescent="0.3">
      <c r="A50" s="592" t="s">
        <v>282</v>
      </c>
      <c r="B50" s="593"/>
      <c r="C50" s="99">
        <f t="shared" si="1"/>
        <v>1</v>
      </c>
      <c r="D50" s="115"/>
      <c r="E50" s="115">
        <v>0</v>
      </c>
      <c r="F50" s="41">
        <v>1</v>
      </c>
      <c r="G50" s="41">
        <v>0</v>
      </c>
      <c r="H50" s="40">
        <v>0</v>
      </c>
      <c r="I50" s="186">
        <v>0</v>
      </c>
      <c r="J50" s="186">
        <v>0</v>
      </c>
      <c r="K50" s="186">
        <v>0</v>
      </c>
      <c r="L50" s="249">
        <v>0</v>
      </c>
      <c r="M50" s="96"/>
      <c r="N50" s="96"/>
      <c r="O50" s="96"/>
      <c r="P50" s="96"/>
      <c r="Q50" s="96"/>
      <c r="R50" s="96"/>
    </row>
    <row r="51" spans="1:18" ht="16.5" thickBot="1" x14ac:dyDescent="0.3">
      <c r="A51" s="594" t="s">
        <v>85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6"/>
    </row>
    <row r="52" spans="1:18" x14ac:dyDescent="0.25">
      <c r="A52" s="597" t="s">
        <v>15</v>
      </c>
      <c r="B52" s="597"/>
      <c r="C52" s="76" t="s">
        <v>82</v>
      </c>
      <c r="D52" s="76"/>
      <c r="E52" s="182"/>
      <c r="F52" s="97"/>
      <c r="G52" s="97"/>
      <c r="H52" s="98"/>
      <c r="I52" s="98"/>
      <c r="J52" s="98"/>
      <c r="K52" s="98"/>
      <c r="L52" s="98" t="s">
        <v>75</v>
      </c>
      <c r="M52" s="98"/>
      <c r="N52" s="98"/>
      <c r="O52" s="98"/>
      <c r="P52" s="98"/>
      <c r="Q52" s="98"/>
      <c r="R52" s="98"/>
    </row>
    <row r="53" spans="1:18" x14ac:dyDescent="0.25">
      <c r="A53" s="625" t="s">
        <v>8</v>
      </c>
      <c r="B53" s="626"/>
      <c r="C53" s="151">
        <f t="shared" ref="C53:C65" si="2">SUM(D53:R53)</f>
        <v>124745.7</v>
      </c>
      <c r="D53" s="152">
        <v>254</v>
      </c>
      <c r="E53" s="152">
        <f>7735.7-D53</f>
        <v>7481.7</v>
      </c>
      <c r="F53" s="153">
        <f>7735.7-E53</f>
        <v>254</v>
      </c>
      <c r="G53" s="153">
        <v>1048</v>
      </c>
      <c r="H53" s="11">
        <f>11862.17-9717.37</f>
        <v>2144.7999999999993</v>
      </c>
      <c r="I53" s="266">
        <v>1903</v>
      </c>
      <c r="J53" s="289">
        <v>24977.199999999997</v>
      </c>
      <c r="K53" s="289">
        <v>28814</v>
      </c>
      <c r="L53" s="266">
        <v>57869</v>
      </c>
      <c r="M53" s="154"/>
      <c r="N53" s="154"/>
      <c r="O53" s="154"/>
      <c r="P53" s="154"/>
      <c r="Q53" s="154"/>
      <c r="R53" s="154"/>
    </row>
    <row r="54" spans="1:18" x14ac:dyDescent="0.25">
      <c r="A54" s="625" t="s">
        <v>9</v>
      </c>
      <c r="B54" s="626"/>
      <c r="C54" s="151">
        <f t="shared" si="2"/>
        <v>43491.87</v>
      </c>
      <c r="D54" s="152">
        <v>89.7</v>
      </c>
      <c r="E54" s="152">
        <f>2537.27-D54</f>
        <v>2447.5700000000002</v>
      </c>
      <c r="F54" s="153"/>
      <c r="G54" s="11">
        <v>378</v>
      </c>
      <c r="H54" s="11">
        <f>3987.19-3241.38</f>
        <v>745.81</v>
      </c>
      <c r="I54" s="266">
        <v>646</v>
      </c>
      <c r="J54" s="289">
        <v>8723.7900000000009</v>
      </c>
      <c r="K54" s="289">
        <v>10398</v>
      </c>
      <c r="L54" s="266">
        <v>20063</v>
      </c>
      <c r="M54" s="154"/>
      <c r="N54" s="154"/>
      <c r="O54" s="154"/>
      <c r="P54" s="154"/>
      <c r="Q54" s="154"/>
      <c r="R54" s="154"/>
    </row>
    <row r="55" spans="1:18" x14ac:dyDescent="0.25">
      <c r="A55" s="625" t="s">
        <v>10</v>
      </c>
      <c r="B55" s="626"/>
      <c r="C55" s="151">
        <f t="shared" si="2"/>
        <v>1027.8699999999999</v>
      </c>
      <c r="D55" s="152">
        <v>0.46</v>
      </c>
      <c r="E55" s="152">
        <f>12.09-D55</f>
        <v>11.629999999999999</v>
      </c>
      <c r="F55" s="153">
        <f>19.21-E55</f>
        <v>7.5800000000000018</v>
      </c>
      <c r="G55" s="11">
        <v>3</v>
      </c>
      <c r="H55" s="11">
        <f>35-22.52</f>
        <v>12.48</v>
      </c>
      <c r="I55" s="266">
        <v>37</v>
      </c>
      <c r="J55" s="289">
        <v>227.71999999999997</v>
      </c>
      <c r="K55" s="289">
        <v>164</v>
      </c>
      <c r="L55" s="266">
        <v>564</v>
      </c>
      <c r="M55" s="154"/>
      <c r="N55" s="154"/>
      <c r="O55" s="154"/>
      <c r="P55" s="154"/>
      <c r="Q55" s="154"/>
      <c r="R55" s="154"/>
    </row>
    <row r="56" spans="1:18" x14ac:dyDescent="0.25">
      <c r="A56" s="625" t="s">
        <v>17</v>
      </c>
      <c r="B56" s="626"/>
      <c r="C56" s="151">
        <f t="shared" si="2"/>
        <v>0</v>
      </c>
      <c r="D56" s="152"/>
      <c r="E56" s="152"/>
      <c r="F56" s="153"/>
      <c r="G56" s="11">
        <v>0</v>
      </c>
      <c r="H56" s="11">
        <v>0</v>
      </c>
      <c r="I56" s="266">
        <v>0</v>
      </c>
      <c r="J56" s="289">
        <v>0</v>
      </c>
      <c r="K56" s="289">
        <v>0</v>
      </c>
      <c r="L56" s="266">
        <v>0</v>
      </c>
      <c r="M56" s="154"/>
      <c r="N56" s="154"/>
      <c r="O56" s="154"/>
      <c r="P56" s="154"/>
      <c r="Q56" s="154"/>
      <c r="R56" s="154"/>
    </row>
    <row r="57" spans="1:18" x14ac:dyDescent="0.25">
      <c r="A57" s="625" t="s">
        <v>11</v>
      </c>
      <c r="B57" s="626"/>
      <c r="C57" s="151">
        <f t="shared" si="2"/>
        <v>8479.630000000001</v>
      </c>
      <c r="D57" s="152">
        <v>30.94</v>
      </c>
      <c r="E57" s="152">
        <f>218.31-D57</f>
        <v>187.37</v>
      </c>
      <c r="F57" s="153">
        <f>283.42-E57</f>
        <v>96.050000000000011</v>
      </c>
      <c r="G57" s="11">
        <v>57</v>
      </c>
      <c r="H57" s="11">
        <f>467.58-340.04</f>
        <v>127.53999999999996</v>
      </c>
      <c r="I57" s="266">
        <v>90</v>
      </c>
      <c r="J57" s="289">
        <v>3525.73</v>
      </c>
      <c r="K57" s="289">
        <v>2075</v>
      </c>
      <c r="L57" s="266">
        <v>2290</v>
      </c>
      <c r="M57" s="154"/>
      <c r="N57" s="154"/>
      <c r="O57" s="154"/>
      <c r="P57" s="154"/>
      <c r="Q57" s="154"/>
      <c r="R57" s="154"/>
    </row>
    <row r="58" spans="1:18" x14ac:dyDescent="0.25">
      <c r="A58" s="625" t="s">
        <v>18</v>
      </c>
      <c r="B58" s="626"/>
      <c r="C58" s="151">
        <f t="shared" si="2"/>
        <v>0</v>
      </c>
      <c r="D58" s="152"/>
      <c r="E58" s="152"/>
      <c r="F58" s="155"/>
      <c r="G58" s="11">
        <v>0</v>
      </c>
      <c r="H58" s="11">
        <v>0</v>
      </c>
      <c r="I58" s="266">
        <v>0</v>
      </c>
      <c r="J58" s="289">
        <v>0</v>
      </c>
      <c r="K58" s="289">
        <v>0</v>
      </c>
      <c r="L58" s="266">
        <v>0</v>
      </c>
      <c r="M58" s="154"/>
      <c r="N58" s="154"/>
      <c r="O58" s="154"/>
      <c r="P58" s="154"/>
      <c r="Q58" s="154"/>
      <c r="R58" s="154"/>
    </row>
    <row r="59" spans="1:18" x14ac:dyDescent="0.25">
      <c r="A59" s="625" t="s">
        <v>19</v>
      </c>
      <c r="B59" s="626"/>
      <c r="C59" s="151">
        <f t="shared" si="2"/>
        <v>0</v>
      </c>
      <c r="D59" s="152"/>
      <c r="E59" s="152"/>
      <c r="F59" s="155"/>
      <c r="G59" s="11">
        <v>0</v>
      </c>
      <c r="H59" s="11">
        <v>0</v>
      </c>
      <c r="I59" s="266">
        <v>0</v>
      </c>
      <c r="J59" s="289">
        <v>0</v>
      </c>
      <c r="K59" s="289">
        <v>0</v>
      </c>
      <c r="L59" s="266">
        <v>0</v>
      </c>
      <c r="M59" s="154"/>
      <c r="N59" s="154"/>
      <c r="O59" s="154"/>
      <c r="P59" s="154"/>
      <c r="Q59" s="154"/>
      <c r="R59" s="154"/>
    </row>
    <row r="60" spans="1:18" x14ac:dyDescent="0.25">
      <c r="A60" s="625" t="s">
        <v>20</v>
      </c>
      <c r="B60" s="626"/>
      <c r="C60" s="151">
        <f t="shared" si="2"/>
        <v>3715.78</v>
      </c>
      <c r="D60" s="152">
        <v>2.2400000000000002</v>
      </c>
      <c r="E60" s="152">
        <f>123.72-D60</f>
        <v>121.48</v>
      </c>
      <c r="F60" s="155">
        <f>154.86-E60</f>
        <v>33.38000000000001</v>
      </c>
      <c r="G60" s="11">
        <v>24</v>
      </c>
      <c r="H60" s="11">
        <f>228.51-178.74</f>
        <v>49.769999999999982</v>
      </c>
      <c r="I60" s="266">
        <v>78</v>
      </c>
      <c r="J60" s="289">
        <v>1022.9100000000001</v>
      </c>
      <c r="K60" s="289">
        <v>636</v>
      </c>
      <c r="L60" s="266">
        <v>1748</v>
      </c>
      <c r="M60" s="154"/>
      <c r="N60" s="154"/>
      <c r="O60" s="154"/>
      <c r="P60" s="154"/>
      <c r="Q60" s="154"/>
      <c r="R60" s="154"/>
    </row>
    <row r="61" spans="1:18" x14ac:dyDescent="0.25">
      <c r="A61" s="625" t="s">
        <v>21</v>
      </c>
      <c r="B61" s="626"/>
      <c r="C61" s="151">
        <f t="shared" si="2"/>
        <v>0</v>
      </c>
      <c r="D61" s="152"/>
      <c r="E61" s="152"/>
      <c r="F61" s="155"/>
      <c r="G61" s="11">
        <v>0</v>
      </c>
      <c r="H61" s="11">
        <v>0</v>
      </c>
      <c r="I61" s="266">
        <v>0</v>
      </c>
      <c r="J61" s="289">
        <v>0</v>
      </c>
      <c r="K61" s="289">
        <v>0</v>
      </c>
      <c r="L61" s="266">
        <v>0</v>
      </c>
      <c r="M61" s="154"/>
      <c r="N61" s="154"/>
      <c r="O61" s="154"/>
      <c r="P61" s="154"/>
      <c r="Q61" s="154"/>
      <c r="R61" s="154"/>
    </row>
    <row r="62" spans="1:18" x14ac:dyDescent="0.25">
      <c r="A62" s="625" t="s">
        <v>12</v>
      </c>
      <c r="B62" s="626"/>
      <c r="C62" s="151">
        <f t="shared" si="2"/>
        <v>44254</v>
      </c>
      <c r="D62" s="152"/>
      <c r="E62" s="152">
        <v>0</v>
      </c>
      <c r="F62" s="153">
        <v>0</v>
      </c>
      <c r="G62" s="11">
        <v>1500</v>
      </c>
      <c r="H62" s="11">
        <f>7500-1500</f>
        <v>6000</v>
      </c>
      <c r="I62" s="266">
        <v>-1500</v>
      </c>
      <c r="J62" s="289">
        <v>-815</v>
      </c>
      <c r="K62" s="289">
        <v>13224</v>
      </c>
      <c r="L62" s="266">
        <v>25845</v>
      </c>
      <c r="M62" s="154"/>
      <c r="N62" s="154"/>
      <c r="O62" s="154"/>
      <c r="P62" s="154"/>
      <c r="Q62" s="154"/>
      <c r="R62" s="154"/>
    </row>
    <row r="63" spans="1:18" x14ac:dyDescent="0.25">
      <c r="A63" s="625" t="s">
        <v>13</v>
      </c>
      <c r="B63" s="626"/>
      <c r="C63" s="151">
        <f t="shared" si="2"/>
        <v>2521</v>
      </c>
      <c r="D63" s="152"/>
      <c r="E63" s="152">
        <v>0</v>
      </c>
      <c r="F63" s="155">
        <v>0</v>
      </c>
      <c r="G63" s="11">
        <v>0</v>
      </c>
      <c r="H63" s="11">
        <v>0</v>
      </c>
      <c r="I63" s="266">
        <v>0</v>
      </c>
      <c r="J63" s="289">
        <v>0</v>
      </c>
      <c r="K63" s="289">
        <v>590</v>
      </c>
      <c r="L63" s="266">
        <v>1931</v>
      </c>
      <c r="M63" s="154"/>
      <c r="N63" s="154"/>
      <c r="O63" s="154"/>
      <c r="P63" s="154"/>
      <c r="Q63" s="154"/>
      <c r="R63" s="154"/>
    </row>
    <row r="64" spans="1:18" x14ac:dyDescent="0.25">
      <c r="A64" s="625" t="s">
        <v>14</v>
      </c>
      <c r="B64" s="626"/>
      <c r="C64" s="151">
        <f t="shared" si="2"/>
        <v>11841.66</v>
      </c>
      <c r="D64" s="152">
        <v>58.32</v>
      </c>
      <c r="E64" s="152">
        <f>522.16-D64</f>
        <v>463.84</v>
      </c>
      <c r="F64" s="155">
        <f>589.88-E64</f>
        <v>126.04000000000002</v>
      </c>
      <c r="G64" s="11">
        <v>89</v>
      </c>
      <c r="H64" s="11">
        <f>800.87-678.62</f>
        <v>122.25</v>
      </c>
      <c r="I64" s="266">
        <v>266</v>
      </c>
      <c r="J64" s="289">
        <v>1482.21</v>
      </c>
      <c r="K64" s="289">
        <v>1471</v>
      </c>
      <c r="L64" s="266">
        <v>7763</v>
      </c>
      <c r="M64" s="154"/>
      <c r="N64" s="154"/>
      <c r="O64" s="154"/>
      <c r="P64" s="154"/>
      <c r="Q64" s="154"/>
      <c r="R64" s="154"/>
    </row>
    <row r="65" spans="1:18" ht="15.75" thickBot="1" x14ac:dyDescent="0.3">
      <c r="A65" s="631" t="s">
        <v>22</v>
      </c>
      <c r="B65" s="632"/>
      <c r="C65" s="151">
        <f t="shared" si="2"/>
        <v>28777.57</v>
      </c>
      <c r="D65" s="156">
        <v>1855.18</v>
      </c>
      <c r="E65" s="156">
        <f>3132.99-D65</f>
        <v>1277.8099999999997</v>
      </c>
      <c r="F65" s="155">
        <f>5763.17-E65</f>
        <v>4485.3600000000006</v>
      </c>
      <c r="G65" s="11">
        <v>7371</v>
      </c>
      <c r="H65" s="11">
        <v>0</v>
      </c>
      <c r="I65" s="267">
        <v>334</v>
      </c>
      <c r="J65" s="290">
        <v>-6.7800000000006548</v>
      </c>
      <c r="K65" s="289">
        <v>13461</v>
      </c>
      <c r="L65" s="267">
        <v>0</v>
      </c>
      <c r="M65" s="157"/>
      <c r="N65" s="157"/>
      <c r="O65" s="157"/>
      <c r="P65" s="157"/>
      <c r="Q65" s="157"/>
      <c r="R65" s="157"/>
    </row>
    <row r="66" spans="1:18" ht="15.75" thickBot="1" x14ac:dyDescent="0.3">
      <c r="A66" s="635" t="s">
        <v>87</v>
      </c>
      <c r="B66" s="636"/>
      <c r="C66" s="158">
        <f>SUM(C53:C65)</f>
        <v>268855.08</v>
      </c>
      <c r="D66" s="159">
        <f>SUM(D52:D65)</f>
        <v>2290.84</v>
      </c>
      <c r="E66" s="159">
        <f t="shared" ref="E66:R66" si="3">SUM(E52:E65)</f>
        <v>11991.4</v>
      </c>
      <c r="F66" s="159">
        <f t="shared" si="3"/>
        <v>5002.4100000000008</v>
      </c>
      <c r="G66" s="159">
        <f t="shared" si="3"/>
        <v>10470</v>
      </c>
      <c r="H66" s="159">
        <f t="shared" si="3"/>
        <v>9202.65</v>
      </c>
      <c r="I66" s="159">
        <f t="shared" si="3"/>
        <v>1854</v>
      </c>
      <c r="J66" s="159">
        <f t="shared" si="3"/>
        <v>39137.780000000006</v>
      </c>
      <c r="K66" s="159">
        <f t="shared" si="3"/>
        <v>70833</v>
      </c>
      <c r="L66" s="159">
        <f t="shared" si="3"/>
        <v>118073</v>
      </c>
      <c r="M66" s="159">
        <f t="shared" si="3"/>
        <v>0</v>
      </c>
      <c r="N66" s="159">
        <f t="shared" si="3"/>
        <v>0</v>
      </c>
      <c r="O66" s="159">
        <f t="shared" si="3"/>
        <v>0</v>
      </c>
      <c r="P66" s="159">
        <f t="shared" si="3"/>
        <v>0</v>
      </c>
      <c r="Q66" s="159">
        <f t="shared" si="3"/>
        <v>0</v>
      </c>
      <c r="R66" s="159">
        <f t="shared" si="3"/>
        <v>0</v>
      </c>
    </row>
    <row r="67" spans="1:18" x14ac:dyDescent="0.25">
      <c r="A67" s="602" t="s">
        <v>33</v>
      </c>
      <c r="B67" s="603"/>
      <c r="C67" s="103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</row>
    <row r="68" spans="1:18" x14ac:dyDescent="0.25">
      <c r="A68" s="633" t="s">
        <v>8</v>
      </c>
      <c r="B68" s="634"/>
      <c r="C68" s="160">
        <f t="shared" ref="C68:C80" si="4">SUM(D68:R68)</f>
        <v>11019.91</v>
      </c>
      <c r="D68" s="161">
        <v>0</v>
      </c>
      <c r="E68" s="161">
        <f>(1086.08+806.4)-D68</f>
        <v>1892.48</v>
      </c>
      <c r="F68" s="153">
        <f>(2051.48+1556.55)-E68</f>
        <v>1715.5499999999997</v>
      </c>
      <c r="G68" s="11">
        <v>1347.75</v>
      </c>
      <c r="H68" s="11">
        <f>(3499.58+2803.95)-4955.78</f>
        <v>1347.75</v>
      </c>
      <c r="I68" s="268">
        <v>1572</v>
      </c>
      <c r="J68" s="291">
        <v>1572.38</v>
      </c>
      <c r="K68" s="268"/>
      <c r="L68" s="268">
        <v>1572</v>
      </c>
      <c r="M68" s="162"/>
      <c r="N68" s="162"/>
      <c r="O68" s="162"/>
      <c r="P68" s="162"/>
      <c r="Q68" s="162"/>
      <c r="R68" s="162"/>
    </row>
    <row r="69" spans="1:18" x14ac:dyDescent="0.25">
      <c r="A69" s="625" t="s">
        <v>9</v>
      </c>
      <c r="B69" s="626"/>
      <c r="C69" s="160">
        <f t="shared" si="4"/>
        <v>5164.8100000000004</v>
      </c>
      <c r="D69" s="152">
        <v>0</v>
      </c>
      <c r="E69" s="152">
        <f>(508.95+377.79)-D69</f>
        <v>886.74</v>
      </c>
      <c r="F69" s="153">
        <f>(961.35+729.33)-E69</f>
        <v>803.94</v>
      </c>
      <c r="G69" s="11">
        <v>631.62</v>
      </c>
      <c r="H69" s="11">
        <f>(1639.95+1313.97)-2322.3</f>
        <v>631.61999999999989</v>
      </c>
      <c r="I69" s="266">
        <v>737</v>
      </c>
      <c r="J69" s="289">
        <v>736.89</v>
      </c>
      <c r="K69" s="266"/>
      <c r="L69" s="266">
        <v>737</v>
      </c>
      <c r="M69" s="154"/>
      <c r="N69" s="154"/>
      <c r="O69" s="154"/>
      <c r="P69" s="154"/>
      <c r="Q69" s="154"/>
      <c r="R69" s="154"/>
    </row>
    <row r="70" spans="1:18" x14ac:dyDescent="0.25">
      <c r="A70" s="625" t="s">
        <v>10</v>
      </c>
      <c r="B70" s="626"/>
      <c r="C70" s="160">
        <f t="shared" si="4"/>
        <v>0</v>
      </c>
      <c r="D70" s="152"/>
      <c r="E70" s="152"/>
      <c r="F70" s="153"/>
      <c r="G70" s="11">
        <v>0</v>
      </c>
      <c r="H70" s="11">
        <v>0</v>
      </c>
      <c r="I70" s="266">
        <v>0</v>
      </c>
      <c r="J70" s="289">
        <v>0</v>
      </c>
      <c r="K70" s="266"/>
      <c r="L70" s="266">
        <v>0</v>
      </c>
      <c r="M70" s="154"/>
      <c r="N70" s="154"/>
      <c r="O70" s="154"/>
      <c r="P70" s="154"/>
      <c r="Q70" s="154"/>
      <c r="R70" s="154"/>
    </row>
    <row r="71" spans="1:18" x14ac:dyDescent="0.25">
      <c r="A71" s="625" t="s">
        <v>17</v>
      </c>
      <c r="B71" s="626"/>
      <c r="C71" s="160">
        <f t="shared" si="4"/>
        <v>0</v>
      </c>
      <c r="D71" s="152"/>
      <c r="E71" s="152"/>
      <c r="F71" s="155"/>
      <c r="G71" s="11">
        <v>0</v>
      </c>
      <c r="H71" s="11">
        <v>0</v>
      </c>
      <c r="I71" s="266">
        <v>0</v>
      </c>
      <c r="J71" s="289">
        <v>0</v>
      </c>
      <c r="K71" s="266"/>
      <c r="L71" s="266">
        <v>0</v>
      </c>
      <c r="M71" s="154"/>
      <c r="N71" s="154"/>
      <c r="O71" s="154"/>
      <c r="P71" s="154"/>
      <c r="Q71" s="154"/>
      <c r="R71" s="154"/>
    </row>
    <row r="72" spans="1:18" x14ac:dyDescent="0.25">
      <c r="A72" s="625" t="s">
        <v>11</v>
      </c>
      <c r="B72" s="626"/>
      <c r="C72" s="160">
        <f t="shared" si="4"/>
        <v>0</v>
      </c>
      <c r="D72" s="152"/>
      <c r="E72" s="152"/>
      <c r="F72" s="155"/>
      <c r="G72" s="11">
        <v>0</v>
      </c>
      <c r="H72" s="11">
        <v>0</v>
      </c>
      <c r="I72" s="266">
        <v>0</v>
      </c>
      <c r="J72" s="289">
        <v>0</v>
      </c>
      <c r="K72" s="266"/>
      <c r="L72" s="266">
        <v>0</v>
      </c>
      <c r="M72" s="154"/>
      <c r="N72" s="154"/>
      <c r="O72" s="154"/>
      <c r="P72" s="154"/>
      <c r="Q72" s="154"/>
      <c r="R72" s="154"/>
    </row>
    <row r="73" spans="1:18" x14ac:dyDescent="0.25">
      <c r="A73" s="625" t="s">
        <v>18</v>
      </c>
      <c r="B73" s="626"/>
      <c r="C73" s="160">
        <f t="shared" si="4"/>
        <v>175.01999999999998</v>
      </c>
      <c r="D73" s="152"/>
      <c r="E73" s="152"/>
      <c r="F73" s="155"/>
      <c r="G73" s="11">
        <v>35.01</v>
      </c>
      <c r="H73" s="11">
        <f>151.67-116.67</f>
        <v>34.999999999999986</v>
      </c>
      <c r="I73" s="266">
        <v>35</v>
      </c>
      <c r="J73" s="289">
        <v>35.01</v>
      </c>
      <c r="K73" s="266"/>
      <c r="L73" s="266">
        <v>35</v>
      </c>
      <c r="M73" s="154"/>
      <c r="N73" s="154"/>
      <c r="O73" s="154"/>
      <c r="P73" s="154"/>
      <c r="Q73" s="154"/>
      <c r="R73" s="154"/>
    </row>
    <row r="74" spans="1:18" x14ac:dyDescent="0.25">
      <c r="A74" s="625" t="s">
        <v>19</v>
      </c>
      <c r="B74" s="626"/>
      <c r="C74" s="160">
        <f t="shared" si="4"/>
        <v>0</v>
      </c>
      <c r="D74" s="152"/>
      <c r="E74" s="152"/>
      <c r="F74" s="155"/>
      <c r="G74" s="11">
        <v>0</v>
      </c>
      <c r="H74" s="11">
        <v>0</v>
      </c>
      <c r="I74" s="266">
        <v>0</v>
      </c>
      <c r="J74" s="289">
        <v>0</v>
      </c>
      <c r="K74" s="266"/>
      <c r="L74" s="266">
        <v>0</v>
      </c>
      <c r="M74" s="154"/>
      <c r="N74" s="154"/>
      <c r="O74" s="154"/>
      <c r="P74" s="154"/>
      <c r="Q74" s="154"/>
      <c r="R74" s="154"/>
    </row>
    <row r="75" spans="1:18" x14ac:dyDescent="0.25">
      <c r="A75" s="625" t="s">
        <v>20</v>
      </c>
      <c r="B75" s="626"/>
      <c r="C75" s="160">
        <f t="shared" si="4"/>
        <v>3938.5</v>
      </c>
      <c r="D75" s="152"/>
      <c r="E75" s="152"/>
      <c r="F75" s="155"/>
      <c r="G75" s="11">
        <v>787.5</v>
      </c>
      <c r="H75" s="11">
        <f>(3033.33+379.17)-2625</f>
        <v>787.5</v>
      </c>
      <c r="I75" s="266">
        <v>788</v>
      </c>
      <c r="J75" s="289">
        <v>787.49999999999989</v>
      </c>
      <c r="K75" s="266"/>
      <c r="L75" s="266">
        <v>788</v>
      </c>
      <c r="M75" s="154"/>
      <c r="N75" s="154"/>
      <c r="O75" s="154"/>
      <c r="P75" s="154"/>
      <c r="Q75" s="154"/>
      <c r="R75" s="154"/>
    </row>
    <row r="76" spans="1:18" x14ac:dyDescent="0.25">
      <c r="A76" s="625" t="s">
        <v>21</v>
      </c>
      <c r="B76" s="626"/>
      <c r="C76" s="160">
        <f t="shared" si="4"/>
        <v>3914.1499999999996</v>
      </c>
      <c r="D76" s="152">
        <f>233.33+145.83+29.17+11.67</f>
        <v>420.00000000000006</v>
      </c>
      <c r="E76" s="152"/>
      <c r="F76" s="155">
        <f>(1020.83+204.17+81.67)-E76</f>
        <v>1306.67</v>
      </c>
      <c r="G76" s="11">
        <v>437.49</v>
      </c>
      <c r="H76" s="11">
        <f>1895.83-1458.33</f>
        <v>437.5</v>
      </c>
      <c r="I76" s="266">
        <v>437</v>
      </c>
      <c r="J76" s="289">
        <v>437.49</v>
      </c>
      <c r="K76" s="266"/>
      <c r="L76" s="266">
        <v>438</v>
      </c>
      <c r="M76" s="154"/>
      <c r="N76" s="154"/>
      <c r="O76" s="154"/>
      <c r="P76" s="154"/>
      <c r="Q76" s="154"/>
      <c r="R76" s="154"/>
    </row>
    <row r="77" spans="1:18" x14ac:dyDescent="0.25">
      <c r="A77" s="625" t="s">
        <v>12</v>
      </c>
      <c r="B77" s="626"/>
      <c r="C77" s="160">
        <f t="shared" si="4"/>
        <v>12385</v>
      </c>
      <c r="D77" s="167"/>
      <c r="E77" s="152"/>
      <c r="F77" s="153">
        <v>0</v>
      </c>
      <c r="G77" s="11">
        <v>0</v>
      </c>
      <c r="H77" s="11">
        <v>0</v>
      </c>
      <c r="I77" s="266">
        <v>0</v>
      </c>
      <c r="J77" s="289">
        <v>0</v>
      </c>
      <c r="K77" s="266"/>
      <c r="L77" s="266">
        <v>12385</v>
      </c>
      <c r="M77" s="154"/>
      <c r="N77" s="154"/>
      <c r="O77" s="154"/>
      <c r="P77" s="154"/>
      <c r="Q77" s="154"/>
      <c r="R77" s="154"/>
    </row>
    <row r="78" spans="1:18" x14ac:dyDescent="0.25">
      <c r="A78" s="625" t="s">
        <v>13</v>
      </c>
      <c r="B78" s="626"/>
      <c r="C78" s="160">
        <f t="shared" si="4"/>
        <v>0</v>
      </c>
      <c r="D78" s="152"/>
      <c r="E78" s="152"/>
      <c r="F78" s="155"/>
      <c r="G78" s="11">
        <v>0</v>
      </c>
      <c r="H78" s="11">
        <v>0</v>
      </c>
      <c r="I78" s="266">
        <v>0</v>
      </c>
      <c r="J78" s="289">
        <v>0</v>
      </c>
      <c r="K78" s="266"/>
      <c r="L78" s="266">
        <v>0</v>
      </c>
      <c r="M78" s="154"/>
      <c r="N78" s="154"/>
      <c r="O78" s="154"/>
      <c r="P78" s="154"/>
      <c r="Q78" s="154"/>
      <c r="R78" s="154"/>
    </row>
    <row r="79" spans="1:18" x14ac:dyDescent="0.25">
      <c r="A79" s="625" t="s">
        <v>14</v>
      </c>
      <c r="B79" s="626"/>
      <c r="C79" s="160">
        <f t="shared" si="4"/>
        <v>2454.48</v>
      </c>
      <c r="D79" s="152">
        <v>0</v>
      </c>
      <c r="E79" s="152">
        <f>(207.68+193.83)-D79</f>
        <v>401.51</v>
      </c>
      <c r="F79" s="155">
        <f>(392.28+387.66)-E79</f>
        <v>378.43000000000006</v>
      </c>
      <c r="G79" s="11">
        <v>304.58999999999997</v>
      </c>
      <c r="H79" s="11">
        <f>(669.18+719.94)-1084.53</f>
        <v>304.58999999999992</v>
      </c>
      <c r="I79" s="266">
        <v>355</v>
      </c>
      <c r="J79" s="289">
        <v>355.36</v>
      </c>
      <c r="K79" s="266"/>
      <c r="L79" s="266">
        <v>355</v>
      </c>
      <c r="M79" s="154"/>
      <c r="N79" s="154"/>
      <c r="O79" s="154"/>
      <c r="P79" s="154"/>
      <c r="Q79" s="154"/>
      <c r="R79" s="154"/>
    </row>
    <row r="80" spans="1:18" x14ac:dyDescent="0.25">
      <c r="A80" s="625" t="s">
        <v>22</v>
      </c>
      <c r="B80" s="626"/>
      <c r="C80" s="160">
        <f t="shared" si="4"/>
        <v>3371.7799999999997</v>
      </c>
      <c r="D80" s="167">
        <v>150.27000000000001</v>
      </c>
      <c r="E80" s="163"/>
      <c r="F80" s="155">
        <f>721.49-E80</f>
        <v>721.49</v>
      </c>
      <c r="G80" s="11">
        <v>283.52999999999997</v>
      </c>
      <c r="H80" s="11">
        <f>1288.52-1005.01</f>
        <v>283.51</v>
      </c>
      <c r="I80" s="266">
        <v>314</v>
      </c>
      <c r="J80" s="289">
        <v>313.98</v>
      </c>
      <c r="K80" s="266"/>
      <c r="L80" s="266">
        <v>1305</v>
      </c>
      <c r="M80" s="154"/>
      <c r="N80" s="154"/>
      <c r="O80" s="154"/>
      <c r="P80" s="154"/>
      <c r="Q80" s="154"/>
      <c r="R80" s="154"/>
    </row>
    <row r="81" spans="1:18" x14ac:dyDescent="0.25">
      <c r="A81" s="627" t="s">
        <v>87</v>
      </c>
      <c r="B81" s="628"/>
      <c r="C81" s="164">
        <f>SUM(C68:C80)</f>
        <v>42423.65</v>
      </c>
      <c r="D81" s="165">
        <f>SUM(D68:D80)</f>
        <v>570.2700000000001</v>
      </c>
      <c r="E81" s="165">
        <f t="shared" ref="E81:R81" si="5">SUM(E68:E80)</f>
        <v>3180.7300000000005</v>
      </c>
      <c r="F81" s="165">
        <f t="shared" si="5"/>
        <v>4926.08</v>
      </c>
      <c r="G81" s="165">
        <f t="shared" si="5"/>
        <v>3827.49</v>
      </c>
      <c r="H81" s="165">
        <f t="shared" si="5"/>
        <v>3827.4700000000003</v>
      </c>
      <c r="I81" s="165">
        <f t="shared" si="5"/>
        <v>4238</v>
      </c>
      <c r="J81" s="165">
        <f t="shared" si="5"/>
        <v>4238.6100000000006</v>
      </c>
      <c r="K81" s="165">
        <f t="shared" si="5"/>
        <v>0</v>
      </c>
      <c r="L81" s="165">
        <f t="shared" si="5"/>
        <v>17615</v>
      </c>
      <c r="M81" s="165">
        <f t="shared" si="5"/>
        <v>0</v>
      </c>
      <c r="N81" s="165">
        <f t="shared" si="5"/>
        <v>0</v>
      </c>
      <c r="O81" s="165">
        <f t="shared" si="5"/>
        <v>0</v>
      </c>
      <c r="P81" s="165">
        <f t="shared" si="5"/>
        <v>0</v>
      </c>
      <c r="Q81" s="165">
        <f t="shared" si="5"/>
        <v>0</v>
      </c>
      <c r="R81" s="165">
        <f t="shared" si="5"/>
        <v>0</v>
      </c>
    </row>
    <row r="82" spans="1:18" x14ac:dyDescent="0.25">
      <c r="A82" s="629" t="s">
        <v>35</v>
      </c>
      <c r="B82" s="630"/>
      <c r="C82" s="151">
        <f>SUM(D82:R82)</f>
        <v>311278.73</v>
      </c>
      <c r="D82" s="166">
        <f>SUM(D66,D81)</f>
        <v>2861.11</v>
      </c>
      <c r="E82" s="166">
        <f t="shared" ref="E82:R82" si="6">SUM(E66,E81)</f>
        <v>15172.130000000001</v>
      </c>
      <c r="F82" s="166">
        <f t="shared" si="6"/>
        <v>9928.4900000000016</v>
      </c>
      <c r="G82" s="166">
        <f t="shared" si="6"/>
        <v>14297.49</v>
      </c>
      <c r="H82" s="166">
        <f t="shared" si="6"/>
        <v>13030.119999999999</v>
      </c>
      <c r="I82" s="166">
        <f t="shared" si="6"/>
        <v>6092</v>
      </c>
      <c r="J82" s="166">
        <f t="shared" si="6"/>
        <v>43376.390000000007</v>
      </c>
      <c r="K82" s="166">
        <f t="shared" si="6"/>
        <v>70833</v>
      </c>
      <c r="L82" s="166">
        <f t="shared" si="6"/>
        <v>135688</v>
      </c>
      <c r="M82" s="166">
        <f t="shared" si="6"/>
        <v>0</v>
      </c>
      <c r="N82" s="166">
        <f t="shared" si="6"/>
        <v>0</v>
      </c>
      <c r="O82" s="166">
        <f t="shared" si="6"/>
        <v>0</v>
      </c>
      <c r="P82" s="166">
        <f t="shared" si="6"/>
        <v>0</v>
      </c>
      <c r="Q82" s="166">
        <f t="shared" si="6"/>
        <v>0</v>
      </c>
      <c r="R82" s="166">
        <f t="shared" si="6"/>
        <v>0</v>
      </c>
    </row>
    <row r="83" spans="1:18" x14ac:dyDescent="0.25">
      <c r="A83" t="s">
        <v>168</v>
      </c>
      <c r="D83" t="s">
        <v>169</v>
      </c>
      <c r="E83" t="s">
        <v>169</v>
      </c>
      <c r="F83" t="s">
        <v>169</v>
      </c>
      <c r="G83" t="s">
        <v>169</v>
      </c>
      <c r="H83" t="s">
        <v>169</v>
      </c>
      <c r="I83" t="s">
        <v>169</v>
      </c>
      <c r="J83" t="s">
        <v>169</v>
      </c>
    </row>
    <row r="84" spans="1:18" x14ac:dyDescent="0.25">
      <c r="A84" t="s">
        <v>97</v>
      </c>
      <c r="H84" s="196">
        <v>44771</v>
      </c>
      <c r="J84" s="196">
        <v>44952</v>
      </c>
    </row>
  </sheetData>
  <mergeCells count="62">
    <mergeCell ref="A73:B73"/>
    <mergeCell ref="A62:B62"/>
    <mergeCell ref="A63:B63"/>
    <mergeCell ref="A64:B64"/>
    <mergeCell ref="A65:B65"/>
    <mergeCell ref="A68:B68"/>
    <mergeCell ref="A69:B69"/>
    <mergeCell ref="A70:B70"/>
    <mergeCell ref="A71:B71"/>
    <mergeCell ref="A72:B72"/>
    <mergeCell ref="A66:B66"/>
    <mergeCell ref="A67:B67"/>
    <mergeCell ref="A80:B80"/>
    <mergeCell ref="A81:B81"/>
    <mergeCell ref="A82:B82"/>
    <mergeCell ref="A74:B74"/>
    <mergeCell ref="A75:B75"/>
    <mergeCell ref="A76:B76"/>
    <mergeCell ref="A77:B77"/>
    <mergeCell ref="A78:B78"/>
    <mergeCell ref="A79:B79"/>
    <mergeCell ref="A61:B61"/>
    <mergeCell ref="A55:B55"/>
    <mergeCell ref="A56:B56"/>
    <mergeCell ref="A57:B57"/>
    <mergeCell ref="A58:B58"/>
    <mergeCell ref="A59:B59"/>
    <mergeCell ref="A60:B60"/>
    <mergeCell ref="A50:B50"/>
    <mergeCell ref="A51:R51"/>
    <mergeCell ref="A52:B52"/>
    <mergeCell ref="A53:B53"/>
    <mergeCell ref="A54:B54"/>
    <mergeCell ref="A49:B49"/>
    <mergeCell ref="A19:B19"/>
    <mergeCell ref="A20:B20"/>
    <mergeCell ref="A21:B21"/>
    <mergeCell ref="A22:B22"/>
    <mergeCell ref="A23:B23"/>
    <mergeCell ref="A37:B37"/>
    <mergeCell ref="A44:R44"/>
    <mergeCell ref="A45:B45"/>
    <mergeCell ref="A46:B46"/>
    <mergeCell ref="A47:B47"/>
    <mergeCell ref="A48:B48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:R1"/>
    <mergeCell ref="A2:R2"/>
    <mergeCell ref="A4:B4"/>
    <mergeCell ref="A5:R5"/>
    <mergeCell ref="A6:B6"/>
  </mergeCells>
  <pageMargins left="0.7" right="0.7" top="0.75" bottom="0.75" header="0.3" footer="0.3"/>
  <pageSetup orientation="portrait" horizontalDpi="204" verticalDpi="1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C23-F4D1-4A0C-BA0F-55B220B89337}">
  <sheetPr>
    <tabColor rgb="FF0070C0"/>
  </sheetPr>
  <dimension ref="A1:V84"/>
  <sheetViews>
    <sheetView zoomScaleNormal="100" workbookViewId="0">
      <pane ySplit="4" topLeftCell="A45" activePane="bottomLeft" state="frozen"/>
      <selection activeCell="V3" sqref="V3"/>
      <selection pane="bottomLeft" activeCell="G13" sqref="G13"/>
    </sheetView>
  </sheetViews>
  <sheetFormatPr defaultRowHeight="15" x14ac:dyDescent="0.25"/>
  <cols>
    <col min="3" max="3" width="11.5703125" customWidth="1"/>
    <col min="13" max="16" width="9.140625" customWidth="1"/>
  </cols>
  <sheetData>
    <row r="1" spans="1:22" ht="33.75" x14ac:dyDescent="0.5">
      <c r="A1" s="637" t="s">
        <v>266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</row>
    <row r="2" spans="1:22" ht="15.75" thickBot="1" x14ac:dyDescent="0.3">
      <c r="A2" s="638" t="s">
        <v>80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</row>
    <row r="3" spans="1:22" ht="21.75" thickBot="1" x14ac:dyDescent="0.4">
      <c r="A3" s="58"/>
      <c r="B3" s="56"/>
      <c r="C3" s="59" t="s">
        <v>81</v>
      </c>
      <c r="D3" s="72">
        <v>2021</v>
      </c>
      <c r="E3" s="57"/>
      <c r="F3" s="63"/>
      <c r="G3" s="73">
        <v>2022</v>
      </c>
      <c r="H3" s="66"/>
      <c r="I3" s="66"/>
      <c r="J3" s="67"/>
      <c r="K3" s="74">
        <v>2023</v>
      </c>
      <c r="L3" s="68"/>
      <c r="M3" s="68"/>
      <c r="N3" s="69"/>
      <c r="O3" s="75">
        <v>2024</v>
      </c>
      <c r="P3" s="70"/>
      <c r="Q3" s="70"/>
      <c r="R3" s="71"/>
      <c r="V3">
        <v>1</v>
      </c>
    </row>
    <row r="4" spans="1:22" ht="15.75" thickBot="1" x14ac:dyDescent="0.3">
      <c r="A4" s="567" t="s">
        <v>15</v>
      </c>
      <c r="B4" s="568"/>
      <c r="C4" s="55" t="s">
        <v>83</v>
      </c>
      <c r="D4" s="64" t="s">
        <v>76</v>
      </c>
      <c r="E4" s="60" t="s">
        <v>77</v>
      </c>
      <c r="F4" s="65" t="s">
        <v>78</v>
      </c>
      <c r="G4" s="64" t="s">
        <v>76</v>
      </c>
      <c r="H4" s="60" t="s">
        <v>77</v>
      </c>
      <c r="I4" s="61" t="s">
        <v>78</v>
      </c>
      <c r="J4" s="62" t="s">
        <v>79</v>
      </c>
      <c r="K4" s="64" t="s">
        <v>76</v>
      </c>
      <c r="L4" s="60" t="s">
        <v>77</v>
      </c>
      <c r="M4" s="61" t="s">
        <v>78</v>
      </c>
      <c r="N4" s="62" t="s">
        <v>79</v>
      </c>
      <c r="O4" s="64" t="s">
        <v>76</v>
      </c>
      <c r="P4" s="60" t="s">
        <v>77</v>
      </c>
      <c r="Q4" s="61" t="s">
        <v>78</v>
      </c>
      <c r="R4" s="62" t="s">
        <v>79</v>
      </c>
    </row>
    <row r="5" spans="1:22" ht="16.5" thickBot="1" x14ac:dyDescent="0.3">
      <c r="A5" s="569" t="s">
        <v>86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0"/>
      <c r="R5" s="571"/>
    </row>
    <row r="6" spans="1:22" ht="16.5" thickBot="1" x14ac:dyDescent="0.3">
      <c r="A6" s="572" t="s">
        <v>38</v>
      </c>
      <c r="B6" s="573"/>
      <c r="C6" s="127" t="s">
        <v>92</v>
      </c>
      <c r="D6" s="105"/>
      <c r="E6" s="105"/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22" x14ac:dyDescent="0.25">
      <c r="A7" s="576" t="s">
        <v>39</v>
      </c>
      <c r="B7" s="577"/>
      <c r="C7" s="99">
        <f>SUM(D7:R7)</f>
        <v>2</v>
      </c>
      <c r="D7" s="116">
        <v>2</v>
      </c>
      <c r="E7" s="116"/>
      <c r="F7" s="77"/>
      <c r="G7" s="40"/>
      <c r="H7" s="185"/>
      <c r="I7" s="185"/>
      <c r="J7" s="185"/>
      <c r="K7" s="185"/>
      <c r="L7" s="78"/>
      <c r="M7" s="78"/>
      <c r="N7" s="78"/>
      <c r="O7" s="78"/>
      <c r="P7" s="78"/>
      <c r="Q7" s="78"/>
      <c r="R7" s="78"/>
    </row>
    <row r="8" spans="1:22" x14ac:dyDescent="0.25">
      <c r="A8" s="578" t="s">
        <v>40</v>
      </c>
      <c r="B8" s="579"/>
      <c r="C8" s="100">
        <f>SUM(D8:R8)</f>
        <v>0</v>
      </c>
      <c r="D8" s="116"/>
      <c r="E8" s="116"/>
      <c r="F8" s="77"/>
      <c r="G8" s="41"/>
      <c r="H8" s="185"/>
      <c r="I8" s="185"/>
      <c r="J8" s="185"/>
      <c r="K8" s="185"/>
      <c r="L8" s="78"/>
      <c r="M8" s="78"/>
      <c r="N8" s="78"/>
      <c r="O8" s="78"/>
      <c r="P8" s="78"/>
      <c r="Q8" s="78"/>
      <c r="R8" s="78"/>
    </row>
    <row r="9" spans="1:22" ht="15.75" thickBot="1" x14ac:dyDescent="0.3">
      <c r="A9" s="574" t="s">
        <v>41</v>
      </c>
      <c r="B9" s="575"/>
      <c r="C9" s="100">
        <f>SUM(D9:R9)</f>
        <v>0</v>
      </c>
      <c r="D9" s="116"/>
      <c r="E9" s="116"/>
      <c r="F9" s="77"/>
      <c r="G9" s="42"/>
      <c r="H9" s="185"/>
      <c r="I9" s="185"/>
      <c r="J9" s="185"/>
      <c r="K9" s="185"/>
      <c r="L9" s="78"/>
      <c r="M9" s="78"/>
      <c r="N9" s="78"/>
      <c r="O9" s="78"/>
      <c r="P9" s="78"/>
      <c r="Q9" s="78"/>
      <c r="R9" s="78"/>
    </row>
    <row r="10" spans="1:22" ht="16.5" thickBot="1" x14ac:dyDescent="0.3">
      <c r="A10" s="572" t="s">
        <v>42</v>
      </c>
      <c r="B10" s="580"/>
      <c r="C10" s="108"/>
      <c r="D10" s="109"/>
      <c r="E10" s="109"/>
      <c r="F10" s="109"/>
      <c r="G10" s="110"/>
      <c r="H10" s="110"/>
      <c r="I10" s="183"/>
      <c r="J10" s="110"/>
      <c r="K10" s="110"/>
      <c r="L10" s="110"/>
      <c r="M10" s="110"/>
      <c r="N10" s="110"/>
      <c r="O10" s="110"/>
      <c r="P10" s="110"/>
      <c r="Q10" s="110"/>
      <c r="R10" s="110"/>
    </row>
    <row r="11" spans="1:22" x14ac:dyDescent="0.25">
      <c r="A11" s="576" t="s">
        <v>43</v>
      </c>
      <c r="B11" s="577"/>
      <c r="C11" s="100">
        <f>SUM(D11:R11)</f>
        <v>0</v>
      </c>
      <c r="D11" s="116"/>
      <c r="E11" s="116"/>
      <c r="F11" s="40"/>
      <c r="G11" s="40"/>
      <c r="H11" s="185"/>
      <c r="I11" s="185"/>
      <c r="J11" s="185"/>
      <c r="K11" s="185"/>
      <c r="L11" s="78"/>
      <c r="M11" s="78"/>
      <c r="N11" s="78"/>
      <c r="O11" s="78"/>
      <c r="P11" s="78"/>
      <c r="Q11" s="78"/>
      <c r="R11" s="78"/>
    </row>
    <row r="12" spans="1:22" x14ac:dyDescent="0.25">
      <c r="A12" s="578" t="s">
        <v>44</v>
      </c>
      <c r="B12" s="579"/>
      <c r="C12" s="100">
        <f>SUM(D12:R12)</f>
        <v>0</v>
      </c>
      <c r="D12" s="116"/>
      <c r="E12" s="116"/>
      <c r="F12" s="41"/>
      <c r="G12" s="41"/>
      <c r="H12" s="185"/>
      <c r="I12" s="185"/>
      <c r="J12" s="185"/>
      <c r="K12" s="185"/>
      <c r="L12" s="78"/>
      <c r="M12" s="78"/>
      <c r="N12" s="78"/>
      <c r="O12" s="78"/>
      <c r="P12" s="78"/>
      <c r="Q12" s="78"/>
      <c r="R12" s="78"/>
    </row>
    <row r="13" spans="1:22" x14ac:dyDescent="0.25">
      <c r="A13" s="578" t="s">
        <v>45</v>
      </c>
      <c r="B13" s="579"/>
      <c r="C13" s="100">
        <f>SUM(D13:R13)</f>
        <v>0</v>
      </c>
      <c r="D13" s="116"/>
      <c r="E13" s="116"/>
      <c r="F13" s="41"/>
      <c r="G13" s="41"/>
      <c r="H13" s="185"/>
      <c r="I13" s="185"/>
      <c r="J13" s="185"/>
      <c r="K13" s="185"/>
      <c r="L13" s="78"/>
      <c r="M13" s="78"/>
      <c r="N13" s="78"/>
      <c r="O13" s="78"/>
      <c r="P13" s="78"/>
      <c r="Q13" s="78"/>
      <c r="R13" s="78"/>
    </row>
    <row r="14" spans="1:22" ht="15.75" thickBot="1" x14ac:dyDescent="0.3">
      <c r="A14" s="574" t="s">
        <v>46</v>
      </c>
      <c r="B14" s="575"/>
      <c r="C14" s="102">
        <f>SUM(D14:R14)</f>
        <v>0</v>
      </c>
      <c r="D14" s="116"/>
      <c r="E14" s="116"/>
      <c r="F14" s="42"/>
      <c r="G14" s="42"/>
      <c r="H14" s="185"/>
      <c r="I14" s="185"/>
      <c r="J14" s="185"/>
      <c r="K14" s="185"/>
      <c r="L14" s="78"/>
      <c r="M14" s="78"/>
      <c r="N14" s="78"/>
      <c r="O14" s="78"/>
      <c r="P14" s="78"/>
      <c r="Q14" s="78"/>
      <c r="R14" s="78"/>
    </row>
    <row r="15" spans="1:22" ht="16.5" thickBot="1" x14ac:dyDescent="0.3">
      <c r="A15" s="572" t="s">
        <v>47</v>
      </c>
      <c r="B15" s="580"/>
      <c r="C15" s="108"/>
      <c r="D15" s="109"/>
      <c r="E15" s="109"/>
      <c r="F15" s="109"/>
      <c r="G15" s="110"/>
      <c r="H15" s="110"/>
      <c r="I15" s="183"/>
      <c r="J15" s="110"/>
      <c r="K15" s="110"/>
      <c r="L15" s="110"/>
      <c r="M15" s="110"/>
      <c r="N15" s="110"/>
      <c r="O15" s="110"/>
      <c r="P15" s="110"/>
      <c r="Q15" s="110"/>
      <c r="R15" s="110"/>
    </row>
    <row r="16" spans="1:22" x14ac:dyDescent="0.25">
      <c r="A16" s="576" t="s">
        <v>48</v>
      </c>
      <c r="B16" s="577"/>
      <c r="C16" s="100">
        <f>SUM(D16:R16)</f>
        <v>0</v>
      </c>
      <c r="D16" s="116"/>
      <c r="E16" s="116"/>
      <c r="F16" s="40"/>
      <c r="G16" s="40"/>
      <c r="H16" s="185"/>
      <c r="I16" s="185"/>
      <c r="J16" s="185"/>
      <c r="K16" s="185"/>
      <c r="L16" s="78"/>
      <c r="M16" s="78"/>
      <c r="N16" s="78"/>
      <c r="O16" s="78"/>
      <c r="P16" s="78"/>
      <c r="Q16" s="78"/>
      <c r="R16" s="78"/>
    </row>
    <row r="17" spans="1:18" x14ac:dyDescent="0.25">
      <c r="A17" s="578" t="s">
        <v>49</v>
      </c>
      <c r="B17" s="579"/>
      <c r="C17" s="100">
        <f>SUM(D17:R17)</f>
        <v>0</v>
      </c>
      <c r="D17" s="116"/>
      <c r="E17" s="116"/>
      <c r="F17" s="41"/>
      <c r="G17" s="41"/>
      <c r="H17" s="185"/>
      <c r="I17" s="185"/>
      <c r="J17" s="185"/>
      <c r="K17" s="185"/>
      <c r="L17" s="78"/>
      <c r="M17" s="78"/>
      <c r="N17" s="78"/>
      <c r="O17" s="78"/>
      <c r="P17" s="78"/>
      <c r="Q17" s="78"/>
      <c r="R17" s="78"/>
    </row>
    <row r="18" spans="1:18" ht="15.75" thickBot="1" x14ac:dyDescent="0.3">
      <c r="A18" s="574" t="s">
        <v>41</v>
      </c>
      <c r="B18" s="575"/>
      <c r="C18" s="100">
        <f>SUM(D18:R18)</f>
        <v>0</v>
      </c>
      <c r="D18" s="116"/>
      <c r="E18" s="116"/>
      <c r="F18" s="42"/>
      <c r="G18" s="42"/>
      <c r="H18" s="185"/>
      <c r="I18" s="185"/>
      <c r="J18" s="185"/>
      <c r="K18" s="185"/>
      <c r="L18" s="78"/>
      <c r="M18" s="78"/>
      <c r="N18" s="78"/>
      <c r="O18" s="78"/>
      <c r="P18" s="78"/>
      <c r="Q18" s="78"/>
      <c r="R18" s="78"/>
    </row>
    <row r="19" spans="1:18" ht="16.5" thickBot="1" x14ac:dyDescent="0.3">
      <c r="A19" s="572" t="s">
        <v>50</v>
      </c>
      <c r="B19" s="580"/>
      <c r="C19" s="108"/>
      <c r="D19" s="109"/>
      <c r="E19" s="109"/>
      <c r="F19" s="109"/>
      <c r="G19" s="110"/>
      <c r="H19" s="110"/>
      <c r="I19" s="183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x14ac:dyDescent="0.25">
      <c r="A20" s="576" t="s">
        <v>48</v>
      </c>
      <c r="B20" s="577"/>
      <c r="C20" s="100">
        <f>SUM(D20:R20)</f>
        <v>0</v>
      </c>
      <c r="D20" s="116"/>
      <c r="E20" s="116"/>
      <c r="F20" s="40"/>
      <c r="G20" s="40"/>
      <c r="H20" s="185"/>
      <c r="I20" s="185"/>
      <c r="J20" s="185"/>
      <c r="K20" s="185"/>
      <c r="L20" s="78"/>
      <c r="M20" s="78"/>
      <c r="N20" s="78"/>
      <c r="O20" s="78"/>
      <c r="P20" s="78"/>
      <c r="Q20" s="78"/>
      <c r="R20" s="78"/>
    </row>
    <row r="21" spans="1:18" x14ac:dyDescent="0.25">
      <c r="A21" s="579" t="s">
        <v>49</v>
      </c>
      <c r="B21" s="579"/>
      <c r="C21" s="100">
        <f>SUM(D21:R21)</f>
        <v>0</v>
      </c>
      <c r="D21" s="116"/>
      <c r="E21" s="116"/>
      <c r="F21" s="41"/>
      <c r="G21" s="41"/>
      <c r="H21" s="185"/>
      <c r="I21" s="185"/>
      <c r="J21" s="185"/>
      <c r="K21" s="185"/>
      <c r="L21" s="78"/>
      <c r="M21" s="78"/>
      <c r="N21" s="78"/>
      <c r="O21" s="78"/>
      <c r="P21" s="78"/>
      <c r="Q21" s="78"/>
      <c r="R21" s="78"/>
    </row>
    <row r="22" spans="1:18" ht="15.75" thickBot="1" x14ac:dyDescent="0.3">
      <c r="A22" s="574" t="s">
        <v>41</v>
      </c>
      <c r="B22" s="575"/>
      <c r="C22" s="100">
        <f>SUM(D22:R22)</f>
        <v>0</v>
      </c>
      <c r="D22" s="116"/>
      <c r="E22" s="116"/>
      <c r="F22" s="42"/>
      <c r="G22" s="42"/>
      <c r="H22" s="185"/>
      <c r="I22" s="185"/>
      <c r="J22" s="185"/>
      <c r="K22" s="185"/>
      <c r="L22" s="78"/>
      <c r="M22" s="78"/>
      <c r="N22" s="78"/>
      <c r="O22" s="78"/>
      <c r="P22" s="78"/>
      <c r="Q22" s="78"/>
      <c r="R22" s="78"/>
    </row>
    <row r="23" spans="1:18" ht="16.5" thickBot="1" x14ac:dyDescent="0.3">
      <c r="A23" s="572" t="s">
        <v>51</v>
      </c>
      <c r="B23" s="580"/>
      <c r="C23" s="108"/>
      <c r="D23" s="109"/>
      <c r="E23" s="109"/>
      <c r="F23" s="109"/>
      <c r="G23" s="110"/>
      <c r="H23" s="110"/>
      <c r="I23" s="183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x14ac:dyDescent="0.25">
      <c r="A24" s="79" t="s">
        <v>48</v>
      </c>
      <c r="B24" s="80"/>
      <c r="C24" s="100">
        <f>SUM(D24:R24)</f>
        <v>0</v>
      </c>
      <c r="D24" s="116"/>
      <c r="E24" s="116"/>
      <c r="F24" s="40"/>
      <c r="G24" s="40"/>
      <c r="H24" s="185"/>
      <c r="I24" s="185"/>
      <c r="J24" s="185"/>
      <c r="K24" s="185"/>
      <c r="L24" s="78"/>
      <c r="M24" s="78"/>
      <c r="N24" s="78"/>
      <c r="O24" s="78"/>
      <c r="P24" s="78"/>
      <c r="Q24" s="78"/>
      <c r="R24" s="78"/>
    </row>
    <row r="25" spans="1:18" x14ac:dyDescent="0.25">
      <c r="A25" s="81" t="s">
        <v>49</v>
      </c>
      <c r="B25" s="82"/>
      <c r="C25" s="100">
        <f>SUM(D25:R25)</f>
        <v>0</v>
      </c>
      <c r="D25" s="116"/>
      <c r="E25" s="116"/>
      <c r="F25" s="41"/>
      <c r="G25" s="41"/>
      <c r="H25" s="185"/>
      <c r="I25" s="185"/>
      <c r="J25" s="185"/>
      <c r="K25" s="185"/>
      <c r="L25" s="78"/>
      <c r="M25" s="78"/>
      <c r="N25" s="78"/>
      <c r="O25" s="78"/>
      <c r="P25" s="78"/>
      <c r="Q25" s="78"/>
      <c r="R25" s="78"/>
    </row>
    <row r="26" spans="1:18" ht="15.75" thickBot="1" x14ac:dyDescent="0.3">
      <c r="A26" s="83" t="s">
        <v>41</v>
      </c>
      <c r="B26" s="84"/>
      <c r="C26" s="100">
        <f>SUM(D26:R26)</f>
        <v>0</v>
      </c>
      <c r="D26" s="116"/>
      <c r="E26" s="116"/>
      <c r="F26" s="42"/>
      <c r="G26" s="42"/>
      <c r="H26" s="185"/>
      <c r="I26" s="185"/>
      <c r="J26" s="185"/>
      <c r="K26" s="185"/>
      <c r="L26" s="78"/>
      <c r="M26" s="78"/>
      <c r="N26" s="78"/>
      <c r="O26" s="78"/>
      <c r="P26" s="78"/>
      <c r="Q26" s="78"/>
      <c r="R26" s="78"/>
    </row>
    <row r="27" spans="1:18" ht="16.5" thickBot="1" x14ac:dyDescent="0.3">
      <c r="A27" s="112" t="s">
        <v>52</v>
      </c>
      <c r="B27" s="111"/>
      <c r="C27" s="108"/>
      <c r="D27" s="109"/>
      <c r="E27" s="109"/>
      <c r="F27" s="109"/>
      <c r="G27" s="110"/>
      <c r="H27" s="110"/>
      <c r="I27" s="183"/>
      <c r="J27" s="110"/>
      <c r="K27" s="110"/>
      <c r="L27" s="110"/>
      <c r="M27" s="110"/>
      <c r="N27" s="110"/>
      <c r="O27" s="110"/>
      <c r="P27" s="110"/>
      <c r="Q27" s="110"/>
      <c r="R27" s="110"/>
    </row>
    <row r="28" spans="1:18" x14ac:dyDescent="0.25">
      <c r="A28" s="79" t="s">
        <v>48</v>
      </c>
      <c r="B28" s="80"/>
      <c r="C28" s="100">
        <f>SUM(D28:R28)</f>
        <v>0</v>
      </c>
      <c r="D28" s="116"/>
      <c r="E28" s="116"/>
      <c r="F28" s="40"/>
      <c r="G28" s="40"/>
      <c r="H28" s="185"/>
      <c r="I28" s="185"/>
      <c r="J28" s="185"/>
      <c r="K28" s="185"/>
      <c r="L28" s="78"/>
      <c r="M28" s="78"/>
      <c r="N28" s="78"/>
      <c r="O28" s="78"/>
      <c r="P28" s="78"/>
      <c r="Q28" s="78"/>
      <c r="R28" s="78"/>
    </row>
    <row r="29" spans="1:18" x14ac:dyDescent="0.25">
      <c r="A29" s="81" t="s">
        <v>49</v>
      </c>
      <c r="B29" s="82"/>
      <c r="C29" s="100">
        <f t="shared" ref="C29:C50" si="0">SUM(D29:R29)</f>
        <v>0</v>
      </c>
      <c r="D29" s="116"/>
      <c r="E29" s="116"/>
      <c r="F29" s="41"/>
      <c r="G29" s="41"/>
      <c r="H29" s="185"/>
      <c r="I29" s="185"/>
      <c r="J29" s="185"/>
      <c r="K29" s="185"/>
      <c r="L29" s="78"/>
      <c r="M29" s="78"/>
      <c r="N29" s="78"/>
      <c r="O29" s="78"/>
      <c r="P29" s="78"/>
      <c r="Q29" s="78"/>
      <c r="R29" s="78"/>
    </row>
    <row r="30" spans="1:18" x14ac:dyDescent="0.25">
      <c r="A30" s="85" t="s">
        <v>41</v>
      </c>
      <c r="B30" s="80"/>
      <c r="C30" s="100">
        <f t="shared" si="0"/>
        <v>0</v>
      </c>
      <c r="D30" s="116"/>
      <c r="E30" s="116"/>
      <c r="F30" s="41"/>
      <c r="G30" s="41"/>
      <c r="H30" s="185"/>
      <c r="I30" s="185"/>
      <c r="J30" s="185"/>
      <c r="K30" s="185"/>
      <c r="L30" s="78"/>
      <c r="M30" s="78"/>
      <c r="N30" s="78"/>
      <c r="O30" s="78"/>
      <c r="P30" s="78"/>
      <c r="Q30" s="78"/>
      <c r="R30" s="78"/>
    </row>
    <row r="31" spans="1:18" x14ac:dyDescent="0.25">
      <c r="A31" s="86" t="s">
        <v>53</v>
      </c>
      <c r="B31" s="87"/>
      <c r="C31" s="100">
        <f t="shared" si="0"/>
        <v>0</v>
      </c>
      <c r="D31" s="116"/>
      <c r="E31" s="116"/>
      <c r="F31" s="41"/>
      <c r="G31" s="41"/>
      <c r="H31" s="185"/>
      <c r="I31" s="185"/>
      <c r="J31" s="185"/>
      <c r="K31" s="185"/>
      <c r="L31" s="78"/>
      <c r="M31" s="78"/>
      <c r="N31" s="78"/>
      <c r="O31" s="78"/>
      <c r="P31" s="78"/>
      <c r="Q31" s="78"/>
      <c r="R31" s="78"/>
    </row>
    <row r="32" spans="1:18" x14ac:dyDescent="0.25">
      <c r="A32" s="86" t="s">
        <v>54</v>
      </c>
      <c r="B32" s="87"/>
      <c r="C32" s="100">
        <f t="shared" si="0"/>
        <v>0</v>
      </c>
      <c r="D32" s="116"/>
      <c r="E32" s="116"/>
      <c r="F32" s="41"/>
      <c r="G32" s="41"/>
      <c r="H32" s="185"/>
      <c r="I32" s="185"/>
      <c r="J32" s="185"/>
      <c r="K32" s="185"/>
      <c r="L32" s="78"/>
      <c r="M32" s="78"/>
      <c r="N32" s="78"/>
      <c r="O32" s="78"/>
      <c r="P32" s="78"/>
      <c r="Q32" s="78"/>
      <c r="R32" s="78"/>
    </row>
    <row r="33" spans="1:18" x14ac:dyDescent="0.25">
      <c r="A33" s="86" t="s">
        <v>55</v>
      </c>
      <c r="B33" s="87"/>
      <c r="C33" s="100">
        <f t="shared" si="0"/>
        <v>0</v>
      </c>
      <c r="D33" s="116"/>
      <c r="E33" s="116"/>
      <c r="F33" s="41"/>
      <c r="G33" s="41"/>
      <c r="H33" s="185"/>
      <c r="I33" s="185"/>
      <c r="J33" s="185"/>
      <c r="K33" s="185"/>
      <c r="L33" s="78"/>
      <c r="M33" s="78"/>
      <c r="N33" s="78"/>
      <c r="O33" s="78"/>
      <c r="P33" s="78"/>
      <c r="Q33" s="78"/>
      <c r="R33" s="78"/>
    </row>
    <row r="34" spans="1:18" x14ac:dyDescent="0.25">
      <c r="A34" s="86" t="s">
        <v>56</v>
      </c>
      <c r="B34" s="87"/>
      <c r="C34" s="100">
        <f t="shared" si="0"/>
        <v>0</v>
      </c>
      <c r="D34" s="116"/>
      <c r="E34" s="116"/>
      <c r="F34" s="41"/>
      <c r="G34" s="41"/>
      <c r="H34" s="185"/>
      <c r="I34" s="185"/>
      <c r="J34" s="185"/>
      <c r="K34" s="185"/>
      <c r="L34" s="78"/>
      <c r="M34" s="78"/>
      <c r="N34" s="78"/>
      <c r="O34" s="78"/>
      <c r="P34" s="78"/>
      <c r="Q34" s="78"/>
      <c r="R34" s="78"/>
    </row>
    <row r="35" spans="1:18" x14ac:dyDescent="0.25">
      <c r="A35" s="86" t="s">
        <v>57</v>
      </c>
      <c r="B35" s="88"/>
      <c r="C35" s="100">
        <f t="shared" si="0"/>
        <v>0</v>
      </c>
      <c r="D35" s="116"/>
      <c r="E35" s="116"/>
      <c r="F35" s="41"/>
      <c r="G35" s="41"/>
      <c r="H35" s="185"/>
      <c r="I35" s="185"/>
      <c r="J35" s="185"/>
      <c r="K35" s="185"/>
      <c r="L35" s="78"/>
      <c r="M35" s="78"/>
      <c r="N35" s="78"/>
      <c r="O35" s="78"/>
      <c r="P35" s="78"/>
      <c r="Q35" s="78"/>
      <c r="R35" s="78"/>
    </row>
    <row r="36" spans="1:18" x14ac:dyDescent="0.25">
      <c r="A36" s="89" t="s">
        <v>58</v>
      </c>
      <c r="B36" s="87"/>
      <c r="C36" s="100">
        <f t="shared" si="0"/>
        <v>0</v>
      </c>
      <c r="D36" s="116"/>
      <c r="E36" s="116"/>
      <c r="F36" s="41"/>
      <c r="G36" s="41"/>
      <c r="H36" s="185"/>
      <c r="I36" s="185"/>
      <c r="J36" s="185"/>
      <c r="K36" s="185"/>
      <c r="L36" s="78"/>
      <c r="M36" s="78"/>
      <c r="N36" s="78"/>
      <c r="O36" s="78"/>
      <c r="P36" s="78"/>
      <c r="Q36" s="78"/>
      <c r="R36" s="78"/>
    </row>
    <row r="37" spans="1:18" x14ac:dyDescent="0.25">
      <c r="A37" s="583" t="s">
        <v>59</v>
      </c>
      <c r="B37" s="584"/>
      <c r="C37" s="100">
        <f t="shared" si="0"/>
        <v>0</v>
      </c>
      <c r="D37" s="116"/>
      <c r="E37" s="116"/>
      <c r="F37" s="41"/>
      <c r="G37" s="41"/>
      <c r="H37" s="185"/>
      <c r="I37" s="185"/>
      <c r="J37" s="185"/>
      <c r="K37" s="185"/>
      <c r="L37" s="78"/>
      <c r="M37" s="78"/>
      <c r="N37" s="78"/>
      <c r="O37" s="78"/>
      <c r="P37" s="78"/>
      <c r="Q37" s="78"/>
      <c r="R37" s="78"/>
    </row>
    <row r="38" spans="1:18" x14ac:dyDescent="0.25">
      <c r="A38" s="86" t="s">
        <v>60</v>
      </c>
      <c r="B38" s="87"/>
      <c r="C38" s="100">
        <f t="shared" si="0"/>
        <v>0</v>
      </c>
      <c r="D38" s="116"/>
      <c r="E38" s="116"/>
      <c r="F38" s="41"/>
      <c r="G38" s="41"/>
      <c r="H38" s="185"/>
      <c r="I38" s="185"/>
      <c r="J38" s="185"/>
      <c r="K38" s="185"/>
      <c r="L38" s="78"/>
      <c r="M38" s="78"/>
      <c r="N38" s="78"/>
      <c r="O38" s="78"/>
      <c r="P38" s="78"/>
      <c r="Q38" s="78"/>
      <c r="R38" s="78"/>
    </row>
    <row r="39" spans="1:18" x14ac:dyDescent="0.25">
      <c r="A39" s="89" t="s">
        <v>61</v>
      </c>
      <c r="B39" s="90"/>
      <c r="C39" s="100">
        <f t="shared" si="0"/>
        <v>0</v>
      </c>
      <c r="D39" s="116"/>
      <c r="E39" s="116"/>
      <c r="F39" s="41"/>
      <c r="G39" s="41"/>
      <c r="H39" s="185"/>
      <c r="I39" s="185"/>
      <c r="J39" s="185"/>
      <c r="K39" s="185"/>
      <c r="L39" s="78"/>
      <c r="M39" s="78"/>
      <c r="N39" s="78"/>
      <c r="O39" s="78"/>
      <c r="P39" s="78"/>
      <c r="Q39" s="78"/>
      <c r="R39" s="78"/>
    </row>
    <row r="40" spans="1:18" x14ac:dyDescent="0.25">
      <c r="A40" s="91" t="s">
        <v>62</v>
      </c>
      <c r="B40" s="87"/>
      <c r="C40" s="100">
        <f t="shared" si="0"/>
        <v>0</v>
      </c>
      <c r="D40" s="116"/>
      <c r="E40" s="116"/>
      <c r="F40" s="41"/>
      <c r="G40" s="41"/>
      <c r="H40" s="185"/>
      <c r="I40" s="185"/>
      <c r="J40" s="185"/>
      <c r="K40" s="185"/>
      <c r="L40" s="78"/>
      <c r="M40" s="78"/>
      <c r="N40" s="78"/>
      <c r="O40" s="78"/>
      <c r="P40" s="78"/>
      <c r="Q40" s="78"/>
      <c r="R40" s="78"/>
    </row>
    <row r="41" spans="1:18" x14ac:dyDescent="0.25">
      <c r="A41" s="86" t="s">
        <v>63</v>
      </c>
      <c r="B41" s="90"/>
      <c r="C41" s="100">
        <f t="shared" si="0"/>
        <v>0</v>
      </c>
      <c r="D41" s="116"/>
      <c r="E41" s="116"/>
      <c r="F41" s="41"/>
      <c r="G41" s="41"/>
      <c r="H41" s="185"/>
      <c r="I41" s="185"/>
      <c r="J41" s="185"/>
      <c r="K41" s="185"/>
      <c r="L41" s="78"/>
      <c r="M41" s="78"/>
      <c r="N41" s="78"/>
      <c r="O41" s="78"/>
      <c r="P41" s="78"/>
      <c r="Q41" s="78"/>
      <c r="R41" s="78"/>
    </row>
    <row r="42" spans="1:18" x14ac:dyDescent="0.25">
      <c r="A42" s="86" t="s">
        <v>64</v>
      </c>
      <c r="B42" s="87"/>
      <c r="C42" s="100">
        <f t="shared" si="0"/>
        <v>0</v>
      </c>
      <c r="D42" s="116"/>
      <c r="E42" s="116"/>
      <c r="F42" s="41"/>
      <c r="G42" s="41"/>
      <c r="H42" s="185"/>
      <c r="I42" s="185"/>
      <c r="J42" s="185"/>
      <c r="K42" s="185"/>
      <c r="L42" s="78"/>
      <c r="M42" s="78"/>
      <c r="N42" s="78"/>
      <c r="O42" s="78"/>
      <c r="P42" s="78"/>
      <c r="Q42" s="78"/>
      <c r="R42" s="78"/>
    </row>
    <row r="43" spans="1:18" ht="15.75" thickBot="1" x14ac:dyDescent="0.3">
      <c r="A43" s="92" t="s">
        <v>65</v>
      </c>
      <c r="B43" s="88"/>
      <c r="C43" s="120">
        <f t="shared" si="0"/>
        <v>0</v>
      </c>
      <c r="D43" s="117"/>
      <c r="E43" s="117"/>
      <c r="F43" s="42"/>
      <c r="G43" s="42"/>
      <c r="H43" s="186"/>
      <c r="I43" s="186"/>
      <c r="J43" s="186"/>
      <c r="K43" s="186"/>
      <c r="L43" s="94"/>
      <c r="M43" s="94"/>
      <c r="N43" s="94"/>
      <c r="O43" s="94"/>
      <c r="P43" s="94"/>
      <c r="Q43" s="94"/>
      <c r="R43" s="94"/>
    </row>
    <row r="44" spans="1:18" ht="16.5" thickBot="1" x14ac:dyDescent="0.3">
      <c r="A44" s="123" t="s">
        <v>84</v>
      </c>
      <c r="B44" s="124"/>
      <c r="C44" s="124"/>
      <c r="D44" s="124"/>
      <c r="E44" s="124"/>
      <c r="F44" s="124"/>
      <c r="G44" s="124"/>
      <c r="H44" s="124"/>
      <c r="I44" s="246"/>
      <c r="J44" s="124"/>
      <c r="K44" s="124"/>
      <c r="L44" s="124"/>
      <c r="M44" s="124"/>
      <c r="N44" s="124"/>
      <c r="O44" s="124"/>
      <c r="P44" s="124"/>
      <c r="Q44" s="124"/>
      <c r="R44" s="124"/>
    </row>
    <row r="45" spans="1:18" ht="24.95" customHeight="1" x14ac:dyDescent="0.25">
      <c r="A45" s="588" t="s">
        <v>278</v>
      </c>
      <c r="B45" s="589"/>
      <c r="C45" s="100">
        <f t="shared" si="0"/>
        <v>157</v>
      </c>
      <c r="D45" s="113">
        <v>0</v>
      </c>
      <c r="E45" s="113">
        <v>0</v>
      </c>
      <c r="F45" s="40">
        <v>34</v>
      </c>
      <c r="G45" s="40">
        <v>16</v>
      </c>
      <c r="H45" s="184">
        <v>44</v>
      </c>
      <c r="I45" s="184">
        <v>16</v>
      </c>
      <c r="J45" s="184">
        <v>1</v>
      </c>
      <c r="K45" s="184">
        <v>46</v>
      </c>
      <c r="L45" s="95"/>
      <c r="M45" s="95"/>
      <c r="N45" s="95"/>
      <c r="O45" s="95"/>
      <c r="P45" s="95"/>
      <c r="Q45" s="95"/>
      <c r="R45" s="95"/>
    </row>
    <row r="46" spans="1:18" ht="24.95" customHeight="1" x14ac:dyDescent="0.25">
      <c r="A46" s="581" t="s">
        <v>279</v>
      </c>
      <c r="B46" s="582"/>
      <c r="C46" s="100">
        <f t="shared" si="0"/>
        <v>157</v>
      </c>
      <c r="D46" s="114">
        <v>0</v>
      </c>
      <c r="E46" s="114">
        <v>0</v>
      </c>
      <c r="F46" s="41">
        <v>34</v>
      </c>
      <c r="G46" s="41">
        <v>16</v>
      </c>
      <c r="H46" s="185">
        <v>44</v>
      </c>
      <c r="I46" s="185">
        <v>16</v>
      </c>
      <c r="J46" s="185">
        <v>1</v>
      </c>
      <c r="K46" s="185">
        <v>46</v>
      </c>
      <c r="L46" s="93"/>
      <c r="M46" s="93"/>
      <c r="N46" s="93"/>
      <c r="O46" s="93"/>
      <c r="P46" s="93"/>
      <c r="Q46" s="93"/>
      <c r="R46" s="93"/>
    </row>
    <row r="47" spans="1:18" ht="24.95" customHeight="1" x14ac:dyDescent="0.25">
      <c r="A47" s="581" t="s">
        <v>280</v>
      </c>
      <c r="B47" s="582"/>
      <c r="C47" s="100">
        <f t="shared" si="0"/>
        <v>83</v>
      </c>
      <c r="D47" s="114">
        <v>0</v>
      </c>
      <c r="E47" s="114">
        <v>0</v>
      </c>
      <c r="F47" s="41">
        <v>28</v>
      </c>
      <c r="G47" s="41">
        <v>16</v>
      </c>
      <c r="H47" s="185">
        <v>0</v>
      </c>
      <c r="I47" s="185">
        <v>22</v>
      </c>
      <c r="J47" s="185">
        <v>3</v>
      </c>
      <c r="K47" s="185">
        <v>14</v>
      </c>
      <c r="L47" s="93"/>
      <c r="M47" s="93"/>
      <c r="N47" s="93"/>
      <c r="O47" s="93"/>
      <c r="P47" s="93"/>
      <c r="Q47" s="93"/>
      <c r="R47" s="93"/>
    </row>
    <row r="48" spans="1:18" ht="24.95" customHeight="1" x14ac:dyDescent="0.25">
      <c r="A48" s="581" t="s">
        <v>281</v>
      </c>
      <c r="B48" s="582"/>
      <c r="C48" s="100">
        <f t="shared" si="0"/>
        <v>82</v>
      </c>
      <c r="D48" s="114">
        <v>0</v>
      </c>
      <c r="E48" s="114">
        <v>0</v>
      </c>
      <c r="F48" s="41">
        <v>28</v>
      </c>
      <c r="G48" s="41">
        <v>16</v>
      </c>
      <c r="H48" s="185">
        <v>0</v>
      </c>
      <c r="I48" s="185">
        <v>5</v>
      </c>
      <c r="J48" s="185">
        <v>6</v>
      </c>
      <c r="K48" s="185">
        <v>27</v>
      </c>
      <c r="L48" s="93"/>
      <c r="M48" s="93"/>
      <c r="N48" s="93"/>
      <c r="O48" s="93"/>
      <c r="P48" s="93"/>
      <c r="Q48" s="93"/>
      <c r="R48" s="93"/>
    </row>
    <row r="49" spans="1:18" ht="24.95" customHeight="1" x14ac:dyDescent="0.25">
      <c r="A49" s="581" t="s">
        <v>274</v>
      </c>
      <c r="B49" s="582"/>
      <c r="C49" s="100">
        <f t="shared" si="0"/>
        <v>72</v>
      </c>
      <c r="D49" s="114">
        <v>0</v>
      </c>
      <c r="E49" s="114">
        <v>0</v>
      </c>
      <c r="F49" s="41">
        <v>34</v>
      </c>
      <c r="G49" s="41">
        <v>16</v>
      </c>
      <c r="H49" s="185">
        <v>0</v>
      </c>
      <c r="I49" s="185">
        <v>6</v>
      </c>
      <c r="J49" s="185">
        <v>5</v>
      </c>
      <c r="K49" s="185">
        <v>11</v>
      </c>
      <c r="L49" s="93"/>
      <c r="M49" s="93"/>
      <c r="N49" s="93"/>
      <c r="O49" s="93"/>
      <c r="P49" s="93"/>
      <c r="Q49" s="93"/>
      <c r="R49" s="93"/>
    </row>
    <row r="50" spans="1:18" ht="24.95" customHeight="1" thickBot="1" x14ac:dyDescent="0.3">
      <c r="A50" s="592" t="s">
        <v>282</v>
      </c>
      <c r="B50" s="593"/>
      <c r="C50" s="120">
        <f t="shared" si="0"/>
        <v>14</v>
      </c>
      <c r="D50" s="115">
        <v>0</v>
      </c>
      <c r="E50" s="115">
        <v>0</v>
      </c>
      <c r="F50" s="42">
        <v>0</v>
      </c>
      <c r="G50" s="42">
        <v>0</v>
      </c>
      <c r="H50" s="186">
        <v>0</v>
      </c>
      <c r="I50" s="186">
        <v>0</v>
      </c>
      <c r="J50" s="186">
        <v>0</v>
      </c>
      <c r="K50" s="186">
        <v>14</v>
      </c>
      <c r="L50" s="96"/>
      <c r="M50" s="96"/>
      <c r="N50" s="96"/>
      <c r="O50" s="96"/>
      <c r="P50" s="96"/>
      <c r="Q50" s="96"/>
      <c r="R50" s="96"/>
    </row>
    <row r="51" spans="1:18" ht="16.5" thickBot="1" x14ac:dyDescent="0.3">
      <c r="A51" s="121" t="s">
        <v>85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</row>
    <row r="52" spans="1:18" x14ac:dyDescent="0.25">
      <c r="A52" s="597" t="s">
        <v>15</v>
      </c>
      <c r="B52" s="597"/>
      <c r="C52" s="76" t="s">
        <v>82</v>
      </c>
      <c r="D52" s="76"/>
      <c r="E52" s="182"/>
      <c r="F52" s="97"/>
      <c r="G52" s="97"/>
      <c r="H52" s="195"/>
      <c r="I52" s="98"/>
      <c r="J52" s="98"/>
      <c r="K52" s="369" t="s">
        <v>228</v>
      </c>
      <c r="L52" s="98" t="s">
        <v>75</v>
      </c>
      <c r="M52" s="98"/>
      <c r="N52" s="98"/>
      <c r="O52" s="98"/>
      <c r="P52" s="98"/>
      <c r="Q52" s="98"/>
      <c r="R52" s="98"/>
    </row>
    <row r="53" spans="1:18" x14ac:dyDescent="0.25">
      <c r="A53" s="590" t="s">
        <v>8</v>
      </c>
      <c r="B53" s="591"/>
      <c r="C53" s="128">
        <f>SUM(D53:R53)</f>
        <v>66484</v>
      </c>
      <c r="D53" s="129">
        <v>0</v>
      </c>
      <c r="E53" s="129">
        <v>2538</v>
      </c>
      <c r="F53" s="130">
        <v>10106</v>
      </c>
      <c r="G53" s="130">
        <v>15871</v>
      </c>
      <c r="H53" s="193">
        <v>13635</v>
      </c>
      <c r="I53" s="188">
        <v>10968</v>
      </c>
      <c r="J53" s="193">
        <v>7008</v>
      </c>
      <c r="K53" s="193">
        <v>6358</v>
      </c>
      <c r="L53" s="131"/>
      <c r="M53" s="131"/>
      <c r="N53" s="131"/>
      <c r="O53" s="131"/>
      <c r="P53" s="131"/>
      <c r="Q53" s="131"/>
      <c r="R53" s="131"/>
    </row>
    <row r="54" spans="1:18" x14ac:dyDescent="0.25">
      <c r="A54" s="590" t="s">
        <v>9</v>
      </c>
      <c r="B54" s="591"/>
      <c r="C54" s="128">
        <f t="shared" ref="C54:C82" si="1">SUM(D54:R54)</f>
        <v>14299</v>
      </c>
      <c r="D54" s="129">
        <v>0</v>
      </c>
      <c r="E54" s="129">
        <v>860</v>
      </c>
      <c r="F54" s="130">
        <v>1351</v>
      </c>
      <c r="G54" s="130">
        <v>4321</v>
      </c>
      <c r="H54" s="193">
        <v>2905</v>
      </c>
      <c r="I54" s="188">
        <v>2177</v>
      </c>
      <c r="J54" s="193">
        <v>1367</v>
      </c>
      <c r="K54" s="193">
        <v>1318</v>
      </c>
      <c r="L54" s="131"/>
      <c r="M54" s="131"/>
      <c r="N54" s="131"/>
      <c r="O54" s="131"/>
      <c r="P54" s="131"/>
      <c r="Q54" s="131"/>
      <c r="R54" s="131"/>
    </row>
    <row r="55" spans="1:18" x14ac:dyDescent="0.25">
      <c r="A55" s="590" t="s">
        <v>10</v>
      </c>
      <c r="B55" s="591"/>
      <c r="C55" s="128">
        <f t="shared" si="1"/>
        <v>435</v>
      </c>
      <c r="D55" s="129">
        <v>0</v>
      </c>
      <c r="E55" s="129">
        <v>0</v>
      </c>
      <c r="F55" s="130">
        <v>31</v>
      </c>
      <c r="G55" s="130">
        <v>0</v>
      </c>
      <c r="H55" s="193">
        <v>158</v>
      </c>
      <c r="I55" s="188">
        <v>0</v>
      </c>
      <c r="J55" s="193">
        <v>246</v>
      </c>
      <c r="K55" s="193">
        <v>0</v>
      </c>
      <c r="L55" s="131"/>
      <c r="M55" s="131"/>
      <c r="N55" s="131"/>
      <c r="O55" s="131"/>
      <c r="P55" s="131"/>
      <c r="Q55" s="131"/>
      <c r="R55" s="131"/>
    </row>
    <row r="56" spans="1:18" x14ac:dyDescent="0.25">
      <c r="A56" s="590" t="s">
        <v>17</v>
      </c>
      <c r="B56" s="591"/>
      <c r="C56" s="128">
        <f t="shared" si="1"/>
        <v>0</v>
      </c>
      <c r="D56" s="129"/>
      <c r="E56" s="129"/>
      <c r="F56" s="130"/>
      <c r="G56" s="130"/>
      <c r="H56" s="193"/>
      <c r="I56" s="188"/>
      <c r="J56" s="193"/>
      <c r="K56" s="193"/>
      <c r="L56" s="131"/>
      <c r="M56" s="131"/>
      <c r="N56" s="131"/>
      <c r="O56" s="131"/>
      <c r="P56" s="131"/>
      <c r="Q56" s="131"/>
      <c r="R56" s="131"/>
    </row>
    <row r="57" spans="1:18" x14ac:dyDescent="0.25">
      <c r="A57" s="590" t="s">
        <v>11</v>
      </c>
      <c r="B57" s="591"/>
      <c r="C57" s="128">
        <f t="shared" si="1"/>
        <v>1575</v>
      </c>
      <c r="D57" s="129">
        <v>0</v>
      </c>
      <c r="E57" s="129">
        <v>276</v>
      </c>
      <c r="F57" s="130">
        <v>-17</v>
      </c>
      <c r="G57" s="130">
        <v>797</v>
      </c>
      <c r="H57" s="193">
        <v>-518</v>
      </c>
      <c r="I57" s="188">
        <v>86</v>
      </c>
      <c r="J57" s="193">
        <v>23</v>
      </c>
      <c r="K57" s="193">
        <v>928</v>
      </c>
      <c r="L57" s="323"/>
      <c r="M57" s="131"/>
      <c r="N57" s="131"/>
      <c r="O57" s="131"/>
      <c r="P57" s="131"/>
      <c r="Q57" s="131"/>
      <c r="R57" s="131"/>
    </row>
    <row r="58" spans="1:18" x14ac:dyDescent="0.25">
      <c r="A58" s="590" t="s">
        <v>18</v>
      </c>
      <c r="B58" s="591"/>
      <c r="C58" s="128">
        <f t="shared" si="1"/>
        <v>0</v>
      </c>
      <c r="D58" s="129"/>
      <c r="E58" s="129"/>
      <c r="F58" s="133"/>
      <c r="G58" s="130"/>
      <c r="H58" s="193"/>
      <c r="I58" s="188"/>
      <c r="J58" s="193"/>
      <c r="K58" s="193"/>
      <c r="L58" s="131"/>
      <c r="M58" s="131"/>
      <c r="N58" s="131"/>
      <c r="O58" s="131"/>
      <c r="P58" s="131"/>
      <c r="Q58" s="131"/>
      <c r="R58" s="131"/>
    </row>
    <row r="59" spans="1:18" x14ac:dyDescent="0.25">
      <c r="A59" s="590" t="s">
        <v>19</v>
      </c>
      <c r="B59" s="591"/>
      <c r="C59" s="128">
        <f t="shared" si="1"/>
        <v>0</v>
      </c>
      <c r="D59" s="129"/>
      <c r="E59" s="129"/>
      <c r="F59" s="133"/>
      <c r="G59" s="130"/>
      <c r="H59" s="193"/>
      <c r="I59" s="188"/>
      <c r="J59" s="193"/>
      <c r="K59" s="193"/>
      <c r="L59" s="131"/>
      <c r="M59" s="131"/>
      <c r="N59" s="131"/>
      <c r="O59" s="131"/>
      <c r="P59" s="131"/>
      <c r="Q59" s="131"/>
      <c r="R59" s="131"/>
    </row>
    <row r="60" spans="1:18" x14ac:dyDescent="0.25">
      <c r="A60" s="590" t="s">
        <v>20</v>
      </c>
      <c r="B60" s="591"/>
      <c r="C60" s="128">
        <f t="shared" si="1"/>
        <v>0</v>
      </c>
      <c r="D60" s="129">
        <v>0</v>
      </c>
      <c r="E60" s="129"/>
      <c r="F60" s="133"/>
      <c r="G60" s="130">
        <v>0</v>
      </c>
      <c r="H60" s="193"/>
      <c r="I60" s="188"/>
      <c r="J60" s="193"/>
      <c r="K60" s="193"/>
      <c r="L60" s="131"/>
      <c r="M60" s="131"/>
      <c r="N60" s="131"/>
      <c r="O60" s="131"/>
      <c r="P60" s="131"/>
      <c r="Q60" s="131"/>
      <c r="R60" s="131"/>
    </row>
    <row r="61" spans="1:18" x14ac:dyDescent="0.25">
      <c r="A61" s="590" t="s">
        <v>21</v>
      </c>
      <c r="B61" s="591"/>
      <c r="C61" s="128">
        <f t="shared" si="1"/>
        <v>0</v>
      </c>
      <c r="D61" s="129"/>
      <c r="E61" s="129"/>
      <c r="F61" s="133"/>
      <c r="G61" s="130"/>
      <c r="H61" s="193"/>
      <c r="I61" s="188"/>
      <c r="J61" s="193"/>
      <c r="K61" s="193"/>
      <c r="L61" s="131"/>
      <c r="M61" s="131"/>
      <c r="N61" s="131"/>
      <c r="O61" s="131"/>
      <c r="P61" s="131"/>
      <c r="Q61" s="131"/>
      <c r="R61" s="131"/>
    </row>
    <row r="62" spans="1:18" x14ac:dyDescent="0.25">
      <c r="A62" s="590" t="s">
        <v>12</v>
      </c>
      <c r="B62" s="591"/>
      <c r="C62" s="128">
        <f t="shared" si="1"/>
        <v>23741</v>
      </c>
      <c r="D62" s="129">
        <v>0</v>
      </c>
      <c r="E62" s="129">
        <v>0</v>
      </c>
      <c r="F62" s="130">
        <v>0</v>
      </c>
      <c r="G62" s="130">
        <v>7846</v>
      </c>
      <c r="H62" s="193">
        <v>368</v>
      </c>
      <c r="I62" s="188">
        <v>10198</v>
      </c>
      <c r="J62" s="193">
        <v>2281</v>
      </c>
      <c r="K62" s="193">
        <v>3048</v>
      </c>
      <c r="L62" s="131"/>
      <c r="M62" s="131"/>
      <c r="N62" s="131"/>
      <c r="O62" s="131"/>
      <c r="P62" s="131"/>
      <c r="Q62" s="131"/>
      <c r="R62" s="131"/>
    </row>
    <row r="63" spans="1:18" x14ac:dyDescent="0.25">
      <c r="A63" s="590" t="s">
        <v>13</v>
      </c>
      <c r="B63" s="591"/>
      <c r="C63" s="128">
        <f t="shared" si="1"/>
        <v>0</v>
      </c>
      <c r="D63" s="129">
        <v>0</v>
      </c>
      <c r="E63" s="129">
        <v>0</v>
      </c>
      <c r="F63" s="133">
        <v>0</v>
      </c>
      <c r="G63" s="130">
        <v>0</v>
      </c>
      <c r="H63" s="193"/>
      <c r="I63" s="188"/>
      <c r="J63" s="193"/>
      <c r="K63" s="193"/>
      <c r="L63" s="131"/>
      <c r="M63" s="131"/>
      <c r="N63" s="131"/>
      <c r="O63" s="131"/>
      <c r="P63" s="131"/>
      <c r="Q63" s="131"/>
      <c r="R63" s="131"/>
    </row>
    <row r="64" spans="1:18" x14ac:dyDescent="0.25">
      <c r="A64" s="590" t="s">
        <v>14</v>
      </c>
      <c r="B64" s="591"/>
      <c r="C64" s="128">
        <f t="shared" si="1"/>
        <v>0</v>
      </c>
      <c r="D64" s="129">
        <v>0</v>
      </c>
      <c r="E64" s="129">
        <v>0</v>
      </c>
      <c r="F64" s="133">
        <v>0</v>
      </c>
      <c r="G64" s="130">
        <v>0</v>
      </c>
      <c r="H64" s="193"/>
      <c r="I64" s="188"/>
      <c r="J64" s="193"/>
      <c r="K64" s="193"/>
      <c r="L64" s="131"/>
      <c r="M64" s="131"/>
      <c r="N64" s="131"/>
      <c r="O64" s="131"/>
      <c r="P64" s="131"/>
      <c r="Q64" s="131"/>
      <c r="R64" s="131"/>
    </row>
    <row r="65" spans="1:18" ht="15.75" thickBot="1" x14ac:dyDescent="0.3">
      <c r="A65" s="598" t="s">
        <v>22</v>
      </c>
      <c r="B65" s="599"/>
      <c r="C65" s="146">
        <f t="shared" si="1"/>
        <v>33653</v>
      </c>
      <c r="D65" s="134">
        <v>0</v>
      </c>
      <c r="E65" s="134">
        <v>294</v>
      </c>
      <c r="F65" s="147">
        <v>918</v>
      </c>
      <c r="G65" s="135">
        <v>2307</v>
      </c>
      <c r="H65" s="194">
        <v>6142</v>
      </c>
      <c r="I65" s="189">
        <v>904</v>
      </c>
      <c r="J65" s="194">
        <v>10222</v>
      </c>
      <c r="K65" s="194">
        <v>12866</v>
      </c>
      <c r="L65" s="136"/>
      <c r="M65" s="136"/>
      <c r="N65" s="136"/>
      <c r="O65" s="136"/>
      <c r="P65" s="136"/>
      <c r="Q65" s="136"/>
      <c r="R65" s="136"/>
    </row>
    <row r="66" spans="1:18" ht="15.75" thickBot="1" x14ac:dyDescent="0.3">
      <c r="A66" s="600" t="s">
        <v>87</v>
      </c>
      <c r="B66" s="601"/>
      <c r="C66" s="137">
        <f t="shared" si="1"/>
        <v>140187</v>
      </c>
      <c r="D66" s="138">
        <f>SUM(D52:D65)</f>
        <v>0</v>
      </c>
      <c r="E66" s="138">
        <f t="shared" ref="E66:R66" si="2">SUM(E52:E65)</f>
        <v>3968</v>
      </c>
      <c r="F66" s="138">
        <f t="shared" si="2"/>
        <v>12389</v>
      </c>
      <c r="G66" s="138">
        <f t="shared" si="2"/>
        <v>31142</v>
      </c>
      <c r="H66" s="138">
        <f t="shared" si="2"/>
        <v>22690</v>
      </c>
      <c r="I66" s="138">
        <f t="shared" si="2"/>
        <v>24333</v>
      </c>
      <c r="J66" s="138">
        <f t="shared" si="2"/>
        <v>21147</v>
      </c>
      <c r="K66" s="138">
        <f t="shared" si="2"/>
        <v>24518</v>
      </c>
      <c r="L66" s="138">
        <f t="shared" si="2"/>
        <v>0</v>
      </c>
      <c r="M66" s="138">
        <f t="shared" si="2"/>
        <v>0</v>
      </c>
      <c r="N66" s="138">
        <f t="shared" si="2"/>
        <v>0</v>
      </c>
      <c r="O66" s="138">
        <f t="shared" si="2"/>
        <v>0</v>
      </c>
      <c r="P66" s="138">
        <f t="shared" si="2"/>
        <v>0</v>
      </c>
      <c r="Q66" s="138">
        <f t="shared" si="2"/>
        <v>0</v>
      </c>
      <c r="R66" s="138">
        <f t="shared" si="2"/>
        <v>0</v>
      </c>
    </row>
    <row r="67" spans="1:18" ht="15.75" thickBot="1" x14ac:dyDescent="0.3">
      <c r="A67" s="643" t="s">
        <v>33</v>
      </c>
      <c r="B67" s="644"/>
      <c r="C67" s="118"/>
      <c r="D67" s="119"/>
      <c r="E67" s="119"/>
      <c r="F67" s="119"/>
      <c r="G67" s="119" t="s">
        <v>88</v>
      </c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</row>
    <row r="68" spans="1:18" x14ac:dyDescent="0.25">
      <c r="A68" s="604" t="s">
        <v>8</v>
      </c>
      <c r="B68" s="605"/>
      <c r="C68" s="139">
        <f t="shared" si="1"/>
        <v>0</v>
      </c>
      <c r="D68" s="140"/>
      <c r="E68" s="140"/>
      <c r="F68" s="148"/>
      <c r="G68" s="148"/>
      <c r="H68" s="192"/>
      <c r="I68" s="187"/>
      <c r="J68" s="141"/>
      <c r="K68" s="141"/>
      <c r="L68" s="141"/>
      <c r="M68" s="141"/>
      <c r="N68" s="141"/>
      <c r="O68" s="141"/>
      <c r="P68" s="141"/>
      <c r="Q68" s="141"/>
      <c r="R68" s="141"/>
    </row>
    <row r="69" spans="1:18" x14ac:dyDescent="0.25">
      <c r="A69" s="590" t="s">
        <v>9</v>
      </c>
      <c r="B69" s="591"/>
      <c r="C69" s="128">
        <f t="shared" si="1"/>
        <v>0</v>
      </c>
      <c r="D69" s="129"/>
      <c r="E69" s="129"/>
      <c r="F69" s="130"/>
      <c r="G69" s="130"/>
      <c r="H69" s="193"/>
      <c r="I69" s="188"/>
      <c r="J69" s="131"/>
      <c r="K69" s="131"/>
      <c r="L69" s="131"/>
      <c r="M69" s="131"/>
      <c r="N69" s="131"/>
      <c r="O69" s="131"/>
      <c r="P69" s="131"/>
      <c r="Q69" s="131"/>
      <c r="R69" s="131"/>
    </row>
    <row r="70" spans="1:18" x14ac:dyDescent="0.25">
      <c r="A70" s="590" t="s">
        <v>10</v>
      </c>
      <c r="B70" s="591"/>
      <c r="C70" s="128">
        <f t="shared" si="1"/>
        <v>0</v>
      </c>
      <c r="D70" s="129"/>
      <c r="E70" s="129"/>
      <c r="F70" s="130"/>
      <c r="G70" s="130"/>
      <c r="H70" s="193"/>
      <c r="I70" s="188"/>
      <c r="J70" s="131"/>
      <c r="K70" s="131"/>
      <c r="L70" s="131"/>
      <c r="M70" s="131"/>
      <c r="N70" s="131"/>
      <c r="O70" s="131"/>
      <c r="P70" s="131"/>
      <c r="Q70" s="131"/>
      <c r="R70" s="131"/>
    </row>
    <row r="71" spans="1:18" x14ac:dyDescent="0.25">
      <c r="A71" s="590" t="s">
        <v>17</v>
      </c>
      <c r="B71" s="591"/>
      <c r="C71" s="128">
        <f t="shared" si="1"/>
        <v>0</v>
      </c>
      <c r="D71" s="129"/>
      <c r="E71" s="129"/>
      <c r="F71" s="133"/>
      <c r="G71" s="130"/>
      <c r="H71" s="193"/>
      <c r="I71" s="188"/>
      <c r="J71" s="131"/>
      <c r="K71" s="131"/>
      <c r="L71" s="131"/>
      <c r="M71" s="131"/>
      <c r="N71" s="131"/>
      <c r="O71" s="131"/>
      <c r="P71" s="131"/>
      <c r="Q71" s="131"/>
      <c r="R71" s="131"/>
    </row>
    <row r="72" spans="1:18" x14ac:dyDescent="0.25">
      <c r="A72" s="590" t="s">
        <v>11</v>
      </c>
      <c r="B72" s="591"/>
      <c r="C72" s="128">
        <f t="shared" si="1"/>
        <v>0</v>
      </c>
      <c r="D72" s="129"/>
      <c r="E72" s="129"/>
      <c r="F72" s="133"/>
      <c r="G72" s="130"/>
      <c r="H72" s="193"/>
      <c r="I72" s="188"/>
      <c r="J72" s="131"/>
      <c r="K72" s="131"/>
      <c r="L72" s="131"/>
      <c r="M72" s="131"/>
      <c r="N72" s="131"/>
      <c r="O72" s="131"/>
      <c r="P72" s="131"/>
      <c r="Q72" s="131"/>
      <c r="R72" s="131"/>
    </row>
    <row r="73" spans="1:18" x14ac:dyDescent="0.25">
      <c r="A73" s="590" t="s">
        <v>18</v>
      </c>
      <c r="B73" s="591"/>
      <c r="C73" s="128">
        <f t="shared" si="1"/>
        <v>0</v>
      </c>
      <c r="D73" s="129"/>
      <c r="E73" s="129"/>
      <c r="F73" s="133"/>
      <c r="G73" s="130"/>
      <c r="H73" s="193"/>
      <c r="I73" s="188"/>
      <c r="J73" s="131"/>
      <c r="K73" s="131"/>
      <c r="L73" s="131"/>
      <c r="M73" s="131"/>
      <c r="N73" s="131"/>
      <c r="O73" s="131"/>
      <c r="P73" s="131"/>
      <c r="Q73" s="131"/>
      <c r="R73" s="131"/>
    </row>
    <row r="74" spans="1:18" x14ac:dyDescent="0.25">
      <c r="A74" s="590" t="s">
        <v>19</v>
      </c>
      <c r="B74" s="591"/>
      <c r="C74" s="128">
        <f t="shared" si="1"/>
        <v>0</v>
      </c>
      <c r="D74" s="129"/>
      <c r="E74" s="129"/>
      <c r="F74" s="133"/>
      <c r="G74" s="130"/>
      <c r="H74" s="193"/>
      <c r="I74" s="188"/>
      <c r="J74" s="131"/>
      <c r="K74" s="131"/>
      <c r="L74" s="131"/>
      <c r="M74" s="131"/>
      <c r="N74" s="131"/>
      <c r="O74" s="131"/>
      <c r="P74" s="131"/>
      <c r="Q74" s="131"/>
      <c r="R74" s="131"/>
    </row>
    <row r="75" spans="1:18" x14ac:dyDescent="0.25">
      <c r="A75" s="590" t="s">
        <v>20</v>
      </c>
      <c r="B75" s="591"/>
      <c r="C75" s="128">
        <f t="shared" si="1"/>
        <v>0</v>
      </c>
      <c r="D75" s="129"/>
      <c r="E75" s="129"/>
      <c r="F75" s="133"/>
      <c r="G75" s="130"/>
      <c r="H75" s="193"/>
      <c r="I75" s="188"/>
      <c r="J75" s="131"/>
      <c r="K75" s="131"/>
      <c r="L75" s="131"/>
      <c r="M75" s="131"/>
      <c r="N75" s="131"/>
      <c r="O75" s="131"/>
      <c r="P75" s="131"/>
      <c r="Q75" s="131"/>
      <c r="R75" s="131"/>
    </row>
    <row r="76" spans="1:18" x14ac:dyDescent="0.25">
      <c r="A76" s="590" t="s">
        <v>21</v>
      </c>
      <c r="B76" s="591"/>
      <c r="C76" s="128">
        <f t="shared" si="1"/>
        <v>0</v>
      </c>
      <c r="D76" s="129"/>
      <c r="E76" s="129"/>
      <c r="F76" s="133"/>
      <c r="G76" s="130"/>
      <c r="H76" s="193"/>
      <c r="I76" s="188"/>
      <c r="J76" s="131"/>
      <c r="K76" s="131"/>
      <c r="L76" s="131"/>
      <c r="M76" s="131"/>
      <c r="N76" s="131"/>
      <c r="O76" s="131"/>
      <c r="P76" s="131"/>
      <c r="Q76" s="131"/>
      <c r="R76" s="131"/>
    </row>
    <row r="77" spans="1:18" x14ac:dyDescent="0.25">
      <c r="A77" s="590" t="s">
        <v>12</v>
      </c>
      <c r="B77" s="591"/>
      <c r="C77" s="128">
        <f t="shared" si="1"/>
        <v>0</v>
      </c>
      <c r="D77" s="129"/>
      <c r="E77" s="129"/>
      <c r="F77" s="130"/>
      <c r="G77" s="130"/>
      <c r="H77" s="193"/>
      <c r="I77" s="188"/>
      <c r="J77" s="131"/>
      <c r="K77" s="131"/>
      <c r="L77" s="131"/>
      <c r="M77" s="131"/>
      <c r="N77" s="131"/>
      <c r="O77" s="131"/>
      <c r="P77" s="131"/>
      <c r="Q77" s="131"/>
      <c r="R77" s="131"/>
    </row>
    <row r="78" spans="1:18" x14ac:dyDescent="0.25">
      <c r="A78" s="590" t="s">
        <v>13</v>
      </c>
      <c r="B78" s="591"/>
      <c r="C78" s="128">
        <f t="shared" si="1"/>
        <v>0</v>
      </c>
      <c r="D78" s="129"/>
      <c r="E78" s="129"/>
      <c r="F78" s="133"/>
      <c r="G78" s="130"/>
      <c r="H78" s="193"/>
      <c r="I78" s="188"/>
      <c r="J78" s="131"/>
      <c r="K78" s="131"/>
      <c r="L78" s="131"/>
      <c r="M78" s="131"/>
      <c r="N78" s="131"/>
      <c r="O78" s="131"/>
      <c r="P78" s="131"/>
      <c r="Q78" s="131"/>
      <c r="R78" s="131"/>
    </row>
    <row r="79" spans="1:18" x14ac:dyDescent="0.25">
      <c r="A79" s="590" t="s">
        <v>14</v>
      </c>
      <c r="B79" s="591"/>
      <c r="C79" s="128">
        <f t="shared" si="1"/>
        <v>0</v>
      </c>
      <c r="D79" s="129"/>
      <c r="E79" s="129"/>
      <c r="F79" s="133"/>
      <c r="G79" s="130"/>
      <c r="H79" s="193"/>
      <c r="I79" s="188"/>
      <c r="J79" s="131"/>
      <c r="K79" s="131"/>
      <c r="L79" s="131"/>
      <c r="M79" s="131"/>
      <c r="N79" s="131"/>
      <c r="O79" s="131"/>
      <c r="P79" s="131"/>
      <c r="Q79" s="131"/>
      <c r="R79" s="131"/>
    </row>
    <row r="80" spans="1:18" ht="15.75" thickBot="1" x14ac:dyDescent="0.3">
      <c r="A80" s="598" t="s">
        <v>22</v>
      </c>
      <c r="B80" s="599"/>
      <c r="C80" s="146">
        <f t="shared" si="1"/>
        <v>0</v>
      </c>
      <c r="D80" s="134"/>
      <c r="E80" s="149"/>
      <c r="F80" s="147"/>
      <c r="G80" s="135"/>
      <c r="H80" s="194"/>
      <c r="I80" s="189"/>
      <c r="J80" s="136"/>
      <c r="K80" s="136"/>
      <c r="L80" s="136"/>
      <c r="M80" s="136"/>
      <c r="N80" s="136"/>
      <c r="O80" s="136"/>
      <c r="P80" s="136"/>
      <c r="Q80" s="136"/>
      <c r="R80" s="136"/>
    </row>
    <row r="81" spans="1:18" ht="15.75" thickBot="1" x14ac:dyDescent="0.3">
      <c r="A81" s="639" t="s">
        <v>87</v>
      </c>
      <c r="B81" s="640"/>
      <c r="C81" s="137">
        <f t="shared" si="1"/>
        <v>0</v>
      </c>
      <c r="D81" s="138">
        <f>SUM(D68:D80)</f>
        <v>0</v>
      </c>
      <c r="E81" s="138">
        <f t="shared" ref="E81:R81" si="3">SUM(E68:E80)</f>
        <v>0</v>
      </c>
      <c r="F81" s="138">
        <f t="shared" si="3"/>
        <v>0</v>
      </c>
      <c r="G81" s="138">
        <f t="shared" si="3"/>
        <v>0</v>
      </c>
      <c r="H81" s="138">
        <f t="shared" si="3"/>
        <v>0</v>
      </c>
      <c r="I81" s="138">
        <f t="shared" si="3"/>
        <v>0</v>
      </c>
      <c r="J81" s="138">
        <f t="shared" si="3"/>
        <v>0</v>
      </c>
      <c r="K81" s="138">
        <f t="shared" si="3"/>
        <v>0</v>
      </c>
      <c r="L81" s="138">
        <f t="shared" si="3"/>
        <v>0</v>
      </c>
      <c r="M81" s="138">
        <f t="shared" si="3"/>
        <v>0</v>
      </c>
      <c r="N81" s="138">
        <f t="shared" si="3"/>
        <v>0</v>
      </c>
      <c r="O81" s="138">
        <f t="shared" si="3"/>
        <v>0</v>
      </c>
      <c r="P81" s="138">
        <f t="shared" si="3"/>
        <v>0</v>
      </c>
      <c r="Q81" s="138">
        <f t="shared" si="3"/>
        <v>0</v>
      </c>
      <c r="R81" s="138">
        <f t="shared" si="3"/>
        <v>0</v>
      </c>
    </row>
    <row r="82" spans="1:18" x14ac:dyDescent="0.25">
      <c r="A82" s="641" t="s">
        <v>35</v>
      </c>
      <c r="B82" s="642"/>
      <c r="C82" s="139">
        <f t="shared" si="1"/>
        <v>140187</v>
      </c>
      <c r="D82" s="150">
        <f>SUM(D66,D81)</f>
        <v>0</v>
      </c>
      <c r="E82" s="150">
        <f t="shared" ref="E82:R82" si="4">SUM(E66,E81)</f>
        <v>3968</v>
      </c>
      <c r="F82" s="150">
        <f t="shared" si="4"/>
        <v>12389</v>
      </c>
      <c r="G82" s="150">
        <f t="shared" si="4"/>
        <v>31142</v>
      </c>
      <c r="H82" s="150">
        <f t="shared" si="4"/>
        <v>22690</v>
      </c>
      <c r="I82" s="150">
        <f t="shared" si="4"/>
        <v>24333</v>
      </c>
      <c r="J82" s="150">
        <f t="shared" si="4"/>
        <v>21147</v>
      </c>
      <c r="K82" s="150">
        <f t="shared" si="4"/>
        <v>24518</v>
      </c>
      <c r="L82" s="150">
        <f t="shared" si="4"/>
        <v>0</v>
      </c>
      <c r="M82" s="150">
        <f t="shared" si="4"/>
        <v>0</v>
      </c>
      <c r="N82" s="150">
        <f t="shared" si="4"/>
        <v>0</v>
      </c>
      <c r="O82" s="150">
        <f t="shared" si="4"/>
        <v>0</v>
      </c>
      <c r="P82" s="150">
        <f t="shared" si="4"/>
        <v>0</v>
      </c>
      <c r="Q82" s="150">
        <f t="shared" si="4"/>
        <v>0</v>
      </c>
      <c r="R82" s="150">
        <f t="shared" si="4"/>
        <v>0</v>
      </c>
    </row>
    <row r="83" spans="1:18" x14ac:dyDescent="0.25">
      <c r="A83" t="s">
        <v>168</v>
      </c>
      <c r="D83" t="s">
        <v>169</v>
      </c>
      <c r="E83" t="s">
        <v>169</v>
      </c>
      <c r="F83" t="s">
        <v>169</v>
      </c>
      <c r="G83" t="s">
        <v>169</v>
      </c>
      <c r="H83" t="s">
        <v>169</v>
      </c>
      <c r="I83" t="s">
        <v>169</v>
      </c>
      <c r="J83" t="s">
        <v>169</v>
      </c>
    </row>
    <row r="84" spans="1:18" x14ac:dyDescent="0.25">
      <c r="A84" t="s">
        <v>97</v>
      </c>
      <c r="H84" s="196">
        <v>44771</v>
      </c>
      <c r="J84" s="196">
        <v>44952</v>
      </c>
    </row>
  </sheetData>
  <mergeCells count="60">
    <mergeCell ref="A81:B81"/>
    <mergeCell ref="A82:B82"/>
    <mergeCell ref="A67:B67"/>
    <mergeCell ref="A23:B23"/>
    <mergeCell ref="A6:B6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5:B65"/>
    <mergeCell ref="A66:B66"/>
    <mergeCell ref="A68:B68"/>
    <mergeCell ref="A69:B69"/>
    <mergeCell ref="A70:B70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45:B45"/>
    <mergeCell ref="A37:B37"/>
    <mergeCell ref="A54:B54"/>
    <mergeCell ref="A46:B46"/>
    <mergeCell ref="A47:B47"/>
    <mergeCell ref="A48:B48"/>
    <mergeCell ref="A49:B49"/>
    <mergeCell ref="A50:B50"/>
    <mergeCell ref="A52:B52"/>
    <mergeCell ref="A53:B53"/>
    <mergeCell ref="A1:R1"/>
    <mergeCell ref="A2:R2"/>
    <mergeCell ref="A4:B4"/>
    <mergeCell ref="A5:R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2:B22"/>
    <mergeCell ref="A17:B17"/>
    <mergeCell ref="A18:B18"/>
    <mergeCell ref="A19:B19"/>
    <mergeCell ref="A20:B20"/>
    <mergeCell ref="A21:B21"/>
  </mergeCells>
  <pageMargins left="0.7" right="0.7" top="0.75" bottom="0.75" header="0.3" footer="0.3"/>
  <pageSetup orientation="portrait" horizontalDpi="204" verticalDpi="1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8661-28D9-4EE8-A52A-2D7EC24CC61B}">
  <sheetPr>
    <tabColor rgb="FFFF0000"/>
  </sheetPr>
  <dimension ref="A1:G101"/>
  <sheetViews>
    <sheetView showGridLines="0" zoomScaleNormal="100" workbookViewId="0">
      <selection activeCell="V3" sqref="V3"/>
    </sheetView>
  </sheetViews>
  <sheetFormatPr defaultRowHeight="12.75" x14ac:dyDescent="0.2"/>
  <cols>
    <col min="1" max="1" width="21.5703125" style="378" bestFit="1" customWidth="1"/>
    <col min="2" max="2" width="32.28515625" style="378" customWidth="1"/>
    <col min="3" max="3" width="13.5703125" style="378" bestFit="1" customWidth="1"/>
    <col min="4" max="4" width="16.7109375" style="378" customWidth="1"/>
    <col min="5" max="5" width="13.42578125" style="378" bestFit="1" customWidth="1"/>
    <col min="6" max="6" width="18.28515625" style="378" bestFit="1" customWidth="1"/>
    <col min="7" max="7" width="14" style="378" customWidth="1"/>
    <col min="8" max="8" width="23.7109375" style="378" customWidth="1"/>
    <col min="9" max="9" width="9.140625" style="378"/>
    <col min="10" max="10" width="12.85546875" style="378" customWidth="1"/>
    <col min="11" max="11" width="10.7109375" style="378" bestFit="1" customWidth="1"/>
    <col min="12" max="12" width="15.140625" style="378" customWidth="1"/>
    <col min="13" max="254" width="9.140625" style="378"/>
    <col min="255" max="255" width="16" style="378" customWidth="1"/>
    <col min="256" max="256" width="13.42578125" style="378" bestFit="1" customWidth="1"/>
    <col min="257" max="257" width="14.28515625" style="378" bestFit="1" customWidth="1"/>
    <col min="258" max="259" width="11.7109375" style="378" bestFit="1" customWidth="1"/>
    <col min="260" max="260" width="10.7109375" style="378" bestFit="1" customWidth="1"/>
    <col min="261" max="261" width="13.42578125" style="378" bestFit="1" customWidth="1"/>
    <col min="262" max="262" width="18.28515625" style="378" bestFit="1" customWidth="1"/>
    <col min="263" max="263" width="14" style="378" customWidth="1"/>
    <col min="264" max="510" width="9.140625" style="378"/>
    <col min="511" max="511" width="16" style="378" customWidth="1"/>
    <col min="512" max="512" width="13.42578125" style="378" bestFit="1" customWidth="1"/>
    <col min="513" max="513" width="14.28515625" style="378" bestFit="1" customWidth="1"/>
    <col min="514" max="515" width="11.7109375" style="378" bestFit="1" customWidth="1"/>
    <col min="516" max="516" width="10.7109375" style="378" bestFit="1" customWidth="1"/>
    <col min="517" max="517" width="13.42578125" style="378" bestFit="1" customWidth="1"/>
    <col min="518" max="518" width="18.28515625" style="378" bestFit="1" customWidth="1"/>
    <col min="519" max="519" width="14" style="378" customWidth="1"/>
    <col min="520" max="766" width="9.140625" style="378"/>
    <col min="767" max="767" width="16" style="378" customWidth="1"/>
    <col min="768" max="768" width="13.42578125" style="378" bestFit="1" customWidth="1"/>
    <col min="769" max="769" width="14.28515625" style="378" bestFit="1" customWidth="1"/>
    <col min="770" max="771" width="11.7109375" style="378" bestFit="1" customWidth="1"/>
    <col min="772" max="772" width="10.7109375" style="378" bestFit="1" customWidth="1"/>
    <col min="773" max="773" width="13.42578125" style="378" bestFit="1" customWidth="1"/>
    <col min="774" max="774" width="18.28515625" style="378" bestFit="1" customWidth="1"/>
    <col min="775" max="775" width="14" style="378" customWidth="1"/>
    <col min="776" max="1022" width="9.140625" style="378"/>
    <col min="1023" max="1023" width="16" style="378" customWidth="1"/>
    <col min="1024" max="1024" width="13.42578125" style="378" bestFit="1" customWidth="1"/>
    <col min="1025" max="1025" width="14.28515625" style="378" bestFit="1" customWidth="1"/>
    <col min="1026" max="1027" width="11.7109375" style="378" bestFit="1" customWidth="1"/>
    <col min="1028" max="1028" width="10.7109375" style="378" bestFit="1" customWidth="1"/>
    <col min="1029" max="1029" width="13.42578125" style="378" bestFit="1" customWidth="1"/>
    <col min="1030" max="1030" width="18.28515625" style="378" bestFit="1" customWidth="1"/>
    <col min="1031" max="1031" width="14" style="378" customWidth="1"/>
    <col min="1032" max="1278" width="9.140625" style="378"/>
    <col min="1279" max="1279" width="16" style="378" customWidth="1"/>
    <col min="1280" max="1280" width="13.42578125" style="378" bestFit="1" customWidth="1"/>
    <col min="1281" max="1281" width="14.28515625" style="378" bestFit="1" customWidth="1"/>
    <col min="1282" max="1283" width="11.7109375" style="378" bestFit="1" customWidth="1"/>
    <col min="1284" max="1284" width="10.7109375" style="378" bestFit="1" customWidth="1"/>
    <col min="1285" max="1285" width="13.42578125" style="378" bestFit="1" customWidth="1"/>
    <col min="1286" max="1286" width="18.28515625" style="378" bestFit="1" customWidth="1"/>
    <col min="1287" max="1287" width="14" style="378" customWidth="1"/>
    <col min="1288" max="1534" width="9.140625" style="378"/>
    <col min="1535" max="1535" width="16" style="378" customWidth="1"/>
    <col min="1536" max="1536" width="13.42578125" style="378" bestFit="1" customWidth="1"/>
    <col min="1537" max="1537" width="14.28515625" style="378" bestFit="1" customWidth="1"/>
    <col min="1538" max="1539" width="11.7109375" style="378" bestFit="1" customWidth="1"/>
    <col min="1540" max="1540" width="10.7109375" style="378" bestFit="1" customWidth="1"/>
    <col min="1541" max="1541" width="13.42578125" style="378" bestFit="1" customWidth="1"/>
    <col min="1542" max="1542" width="18.28515625" style="378" bestFit="1" customWidth="1"/>
    <col min="1543" max="1543" width="14" style="378" customWidth="1"/>
    <col min="1544" max="1790" width="9.140625" style="378"/>
    <col min="1791" max="1791" width="16" style="378" customWidth="1"/>
    <col min="1792" max="1792" width="13.42578125" style="378" bestFit="1" customWidth="1"/>
    <col min="1793" max="1793" width="14.28515625" style="378" bestFit="1" customWidth="1"/>
    <col min="1794" max="1795" width="11.7109375" style="378" bestFit="1" customWidth="1"/>
    <col min="1796" max="1796" width="10.7109375" style="378" bestFit="1" customWidth="1"/>
    <col min="1797" max="1797" width="13.42578125" style="378" bestFit="1" customWidth="1"/>
    <col min="1798" max="1798" width="18.28515625" style="378" bestFit="1" customWidth="1"/>
    <col min="1799" max="1799" width="14" style="378" customWidth="1"/>
    <col min="1800" max="2046" width="9.140625" style="378"/>
    <col min="2047" max="2047" width="16" style="378" customWidth="1"/>
    <col min="2048" max="2048" width="13.42578125" style="378" bestFit="1" customWidth="1"/>
    <col min="2049" max="2049" width="14.28515625" style="378" bestFit="1" customWidth="1"/>
    <col min="2050" max="2051" width="11.7109375" style="378" bestFit="1" customWidth="1"/>
    <col min="2052" max="2052" width="10.7109375" style="378" bestFit="1" customWidth="1"/>
    <col min="2053" max="2053" width="13.42578125" style="378" bestFit="1" customWidth="1"/>
    <col min="2054" max="2054" width="18.28515625" style="378" bestFit="1" customWidth="1"/>
    <col min="2055" max="2055" width="14" style="378" customWidth="1"/>
    <col min="2056" max="2302" width="9.140625" style="378"/>
    <col min="2303" max="2303" width="16" style="378" customWidth="1"/>
    <col min="2304" max="2304" width="13.42578125" style="378" bestFit="1" customWidth="1"/>
    <col min="2305" max="2305" width="14.28515625" style="378" bestFit="1" customWidth="1"/>
    <col min="2306" max="2307" width="11.7109375" style="378" bestFit="1" customWidth="1"/>
    <col min="2308" max="2308" width="10.7109375" style="378" bestFit="1" customWidth="1"/>
    <col min="2309" max="2309" width="13.42578125" style="378" bestFit="1" customWidth="1"/>
    <col min="2310" max="2310" width="18.28515625" style="378" bestFit="1" customWidth="1"/>
    <col min="2311" max="2311" width="14" style="378" customWidth="1"/>
    <col min="2312" max="2558" width="9.140625" style="378"/>
    <col min="2559" max="2559" width="16" style="378" customWidth="1"/>
    <col min="2560" max="2560" width="13.42578125" style="378" bestFit="1" customWidth="1"/>
    <col min="2561" max="2561" width="14.28515625" style="378" bestFit="1" customWidth="1"/>
    <col min="2562" max="2563" width="11.7109375" style="378" bestFit="1" customWidth="1"/>
    <col min="2564" max="2564" width="10.7109375" style="378" bestFit="1" customWidth="1"/>
    <col min="2565" max="2565" width="13.42578125" style="378" bestFit="1" customWidth="1"/>
    <col min="2566" max="2566" width="18.28515625" style="378" bestFit="1" customWidth="1"/>
    <col min="2567" max="2567" width="14" style="378" customWidth="1"/>
    <col min="2568" max="2814" width="9.140625" style="378"/>
    <col min="2815" max="2815" width="16" style="378" customWidth="1"/>
    <col min="2816" max="2816" width="13.42578125" style="378" bestFit="1" customWidth="1"/>
    <col min="2817" max="2817" width="14.28515625" style="378" bestFit="1" customWidth="1"/>
    <col min="2818" max="2819" width="11.7109375" style="378" bestFit="1" customWidth="1"/>
    <col min="2820" max="2820" width="10.7109375" style="378" bestFit="1" customWidth="1"/>
    <col min="2821" max="2821" width="13.42578125" style="378" bestFit="1" customWidth="1"/>
    <col min="2822" max="2822" width="18.28515625" style="378" bestFit="1" customWidth="1"/>
    <col min="2823" max="2823" width="14" style="378" customWidth="1"/>
    <col min="2824" max="3070" width="9.140625" style="378"/>
    <col min="3071" max="3071" width="16" style="378" customWidth="1"/>
    <col min="3072" max="3072" width="13.42578125" style="378" bestFit="1" customWidth="1"/>
    <col min="3073" max="3073" width="14.28515625" style="378" bestFit="1" customWidth="1"/>
    <col min="3074" max="3075" width="11.7109375" style="378" bestFit="1" customWidth="1"/>
    <col min="3076" max="3076" width="10.7109375" style="378" bestFit="1" customWidth="1"/>
    <col min="3077" max="3077" width="13.42578125" style="378" bestFit="1" customWidth="1"/>
    <col min="3078" max="3078" width="18.28515625" style="378" bestFit="1" customWidth="1"/>
    <col min="3079" max="3079" width="14" style="378" customWidth="1"/>
    <col min="3080" max="3326" width="9.140625" style="378"/>
    <col min="3327" max="3327" width="16" style="378" customWidth="1"/>
    <col min="3328" max="3328" width="13.42578125" style="378" bestFit="1" customWidth="1"/>
    <col min="3329" max="3329" width="14.28515625" style="378" bestFit="1" customWidth="1"/>
    <col min="3330" max="3331" width="11.7109375" style="378" bestFit="1" customWidth="1"/>
    <col min="3332" max="3332" width="10.7109375" style="378" bestFit="1" customWidth="1"/>
    <col min="3333" max="3333" width="13.42578125" style="378" bestFit="1" customWidth="1"/>
    <col min="3334" max="3334" width="18.28515625" style="378" bestFit="1" customWidth="1"/>
    <col min="3335" max="3335" width="14" style="378" customWidth="1"/>
    <col min="3336" max="3582" width="9.140625" style="378"/>
    <col min="3583" max="3583" width="16" style="378" customWidth="1"/>
    <col min="3584" max="3584" width="13.42578125" style="378" bestFit="1" customWidth="1"/>
    <col min="3585" max="3585" width="14.28515625" style="378" bestFit="1" customWidth="1"/>
    <col min="3586" max="3587" width="11.7109375" style="378" bestFit="1" customWidth="1"/>
    <col min="3588" max="3588" width="10.7109375" style="378" bestFit="1" customWidth="1"/>
    <col min="3589" max="3589" width="13.42578125" style="378" bestFit="1" customWidth="1"/>
    <col min="3590" max="3590" width="18.28515625" style="378" bestFit="1" customWidth="1"/>
    <col min="3591" max="3591" width="14" style="378" customWidth="1"/>
    <col min="3592" max="3838" width="9.140625" style="378"/>
    <col min="3839" max="3839" width="16" style="378" customWidth="1"/>
    <col min="3840" max="3840" width="13.42578125" style="378" bestFit="1" customWidth="1"/>
    <col min="3841" max="3841" width="14.28515625" style="378" bestFit="1" customWidth="1"/>
    <col min="3842" max="3843" width="11.7109375" style="378" bestFit="1" customWidth="1"/>
    <col min="3844" max="3844" width="10.7109375" style="378" bestFit="1" customWidth="1"/>
    <col min="3845" max="3845" width="13.42578125" style="378" bestFit="1" customWidth="1"/>
    <col min="3846" max="3846" width="18.28515625" style="378" bestFit="1" customWidth="1"/>
    <col min="3847" max="3847" width="14" style="378" customWidth="1"/>
    <col min="3848" max="4094" width="9.140625" style="378"/>
    <col min="4095" max="4095" width="16" style="378" customWidth="1"/>
    <col min="4096" max="4096" width="13.42578125" style="378" bestFit="1" customWidth="1"/>
    <col min="4097" max="4097" width="14.28515625" style="378" bestFit="1" customWidth="1"/>
    <col min="4098" max="4099" width="11.7109375" style="378" bestFit="1" customWidth="1"/>
    <col min="4100" max="4100" width="10.7109375" style="378" bestFit="1" customWidth="1"/>
    <col min="4101" max="4101" width="13.42578125" style="378" bestFit="1" customWidth="1"/>
    <col min="4102" max="4102" width="18.28515625" style="378" bestFit="1" customWidth="1"/>
    <col min="4103" max="4103" width="14" style="378" customWidth="1"/>
    <col min="4104" max="4350" width="9.140625" style="378"/>
    <col min="4351" max="4351" width="16" style="378" customWidth="1"/>
    <col min="4352" max="4352" width="13.42578125" style="378" bestFit="1" customWidth="1"/>
    <col min="4353" max="4353" width="14.28515625" style="378" bestFit="1" customWidth="1"/>
    <col min="4354" max="4355" width="11.7109375" style="378" bestFit="1" customWidth="1"/>
    <col min="4356" max="4356" width="10.7109375" style="378" bestFit="1" customWidth="1"/>
    <col min="4357" max="4357" width="13.42578125" style="378" bestFit="1" customWidth="1"/>
    <col min="4358" max="4358" width="18.28515625" style="378" bestFit="1" customWidth="1"/>
    <col min="4359" max="4359" width="14" style="378" customWidth="1"/>
    <col min="4360" max="4606" width="9.140625" style="378"/>
    <col min="4607" max="4607" width="16" style="378" customWidth="1"/>
    <col min="4608" max="4608" width="13.42578125" style="378" bestFit="1" customWidth="1"/>
    <col min="4609" max="4609" width="14.28515625" style="378" bestFit="1" customWidth="1"/>
    <col min="4610" max="4611" width="11.7109375" style="378" bestFit="1" customWidth="1"/>
    <col min="4612" max="4612" width="10.7109375" style="378" bestFit="1" customWidth="1"/>
    <col min="4613" max="4613" width="13.42578125" style="378" bestFit="1" customWidth="1"/>
    <col min="4614" max="4614" width="18.28515625" style="378" bestFit="1" customWidth="1"/>
    <col min="4615" max="4615" width="14" style="378" customWidth="1"/>
    <col min="4616" max="4862" width="9.140625" style="378"/>
    <col min="4863" max="4863" width="16" style="378" customWidth="1"/>
    <col min="4864" max="4864" width="13.42578125" style="378" bestFit="1" customWidth="1"/>
    <col min="4865" max="4865" width="14.28515625" style="378" bestFit="1" customWidth="1"/>
    <col min="4866" max="4867" width="11.7109375" style="378" bestFit="1" customWidth="1"/>
    <col min="4868" max="4868" width="10.7109375" style="378" bestFit="1" customWidth="1"/>
    <col min="4869" max="4869" width="13.42578125" style="378" bestFit="1" customWidth="1"/>
    <col min="4870" max="4870" width="18.28515625" style="378" bestFit="1" customWidth="1"/>
    <col min="4871" max="4871" width="14" style="378" customWidth="1"/>
    <col min="4872" max="5118" width="9.140625" style="378"/>
    <col min="5119" max="5119" width="16" style="378" customWidth="1"/>
    <col min="5120" max="5120" width="13.42578125" style="378" bestFit="1" customWidth="1"/>
    <col min="5121" max="5121" width="14.28515625" style="378" bestFit="1" customWidth="1"/>
    <col min="5122" max="5123" width="11.7109375" style="378" bestFit="1" customWidth="1"/>
    <col min="5124" max="5124" width="10.7109375" style="378" bestFit="1" customWidth="1"/>
    <col min="5125" max="5125" width="13.42578125" style="378" bestFit="1" customWidth="1"/>
    <col min="5126" max="5126" width="18.28515625" style="378" bestFit="1" customWidth="1"/>
    <col min="5127" max="5127" width="14" style="378" customWidth="1"/>
    <col min="5128" max="5374" width="9.140625" style="378"/>
    <col min="5375" max="5375" width="16" style="378" customWidth="1"/>
    <col min="5376" max="5376" width="13.42578125" style="378" bestFit="1" customWidth="1"/>
    <col min="5377" max="5377" width="14.28515625" style="378" bestFit="1" customWidth="1"/>
    <col min="5378" max="5379" width="11.7109375" style="378" bestFit="1" customWidth="1"/>
    <col min="5380" max="5380" width="10.7109375" style="378" bestFit="1" customWidth="1"/>
    <col min="5381" max="5381" width="13.42578125" style="378" bestFit="1" customWidth="1"/>
    <col min="5382" max="5382" width="18.28515625" style="378" bestFit="1" customWidth="1"/>
    <col min="5383" max="5383" width="14" style="378" customWidth="1"/>
    <col min="5384" max="5630" width="9.140625" style="378"/>
    <col min="5631" max="5631" width="16" style="378" customWidth="1"/>
    <col min="5632" max="5632" width="13.42578125" style="378" bestFit="1" customWidth="1"/>
    <col min="5633" max="5633" width="14.28515625" style="378" bestFit="1" customWidth="1"/>
    <col min="5634" max="5635" width="11.7109375" style="378" bestFit="1" customWidth="1"/>
    <col min="5636" max="5636" width="10.7109375" style="378" bestFit="1" customWidth="1"/>
    <col min="5637" max="5637" width="13.42578125" style="378" bestFit="1" customWidth="1"/>
    <col min="5638" max="5638" width="18.28515625" style="378" bestFit="1" customWidth="1"/>
    <col min="5639" max="5639" width="14" style="378" customWidth="1"/>
    <col min="5640" max="5886" width="9.140625" style="378"/>
    <col min="5887" max="5887" width="16" style="378" customWidth="1"/>
    <col min="5888" max="5888" width="13.42578125" style="378" bestFit="1" customWidth="1"/>
    <col min="5889" max="5889" width="14.28515625" style="378" bestFit="1" customWidth="1"/>
    <col min="5890" max="5891" width="11.7109375" style="378" bestFit="1" customWidth="1"/>
    <col min="5892" max="5892" width="10.7109375" style="378" bestFit="1" customWidth="1"/>
    <col min="5893" max="5893" width="13.42578125" style="378" bestFit="1" customWidth="1"/>
    <col min="5894" max="5894" width="18.28515625" style="378" bestFit="1" customWidth="1"/>
    <col min="5895" max="5895" width="14" style="378" customWidth="1"/>
    <col min="5896" max="6142" width="9.140625" style="378"/>
    <col min="6143" max="6143" width="16" style="378" customWidth="1"/>
    <col min="6144" max="6144" width="13.42578125" style="378" bestFit="1" customWidth="1"/>
    <col min="6145" max="6145" width="14.28515625" style="378" bestFit="1" customWidth="1"/>
    <col min="6146" max="6147" width="11.7109375" style="378" bestFit="1" customWidth="1"/>
    <col min="6148" max="6148" width="10.7109375" style="378" bestFit="1" customWidth="1"/>
    <col min="6149" max="6149" width="13.42578125" style="378" bestFit="1" customWidth="1"/>
    <col min="6150" max="6150" width="18.28515625" style="378" bestFit="1" customWidth="1"/>
    <col min="6151" max="6151" width="14" style="378" customWidth="1"/>
    <col min="6152" max="6398" width="9.140625" style="378"/>
    <col min="6399" max="6399" width="16" style="378" customWidth="1"/>
    <col min="6400" max="6400" width="13.42578125" style="378" bestFit="1" customWidth="1"/>
    <col min="6401" max="6401" width="14.28515625" style="378" bestFit="1" customWidth="1"/>
    <col min="6402" max="6403" width="11.7109375" style="378" bestFit="1" customWidth="1"/>
    <col min="6404" max="6404" width="10.7109375" style="378" bestFit="1" customWidth="1"/>
    <col min="6405" max="6405" width="13.42578125" style="378" bestFit="1" customWidth="1"/>
    <col min="6406" max="6406" width="18.28515625" style="378" bestFit="1" customWidth="1"/>
    <col min="6407" max="6407" width="14" style="378" customWidth="1"/>
    <col min="6408" max="6654" width="9.140625" style="378"/>
    <col min="6655" max="6655" width="16" style="378" customWidth="1"/>
    <col min="6656" max="6656" width="13.42578125" style="378" bestFit="1" customWidth="1"/>
    <col min="6657" max="6657" width="14.28515625" style="378" bestFit="1" customWidth="1"/>
    <col min="6658" max="6659" width="11.7109375" style="378" bestFit="1" customWidth="1"/>
    <col min="6660" max="6660" width="10.7109375" style="378" bestFit="1" customWidth="1"/>
    <col min="6661" max="6661" width="13.42578125" style="378" bestFit="1" customWidth="1"/>
    <col min="6662" max="6662" width="18.28515625" style="378" bestFit="1" customWidth="1"/>
    <col min="6663" max="6663" width="14" style="378" customWidth="1"/>
    <col min="6664" max="6910" width="9.140625" style="378"/>
    <col min="6911" max="6911" width="16" style="378" customWidth="1"/>
    <col min="6912" max="6912" width="13.42578125" style="378" bestFit="1" customWidth="1"/>
    <col min="6913" max="6913" width="14.28515625" style="378" bestFit="1" customWidth="1"/>
    <col min="6914" max="6915" width="11.7109375" style="378" bestFit="1" customWidth="1"/>
    <col min="6916" max="6916" width="10.7109375" style="378" bestFit="1" customWidth="1"/>
    <col min="6917" max="6917" width="13.42578125" style="378" bestFit="1" customWidth="1"/>
    <col min="6918" max="6918" width="18.28515625" style="378" bestFit="1" customWidth="1"/>
    <col min="6919" max="6919" width="14" style="378" customWidth="1"/>
    <col min="6920" max="7166" width="9.140625" style="378"/>
    <col min="7167" max="7167" width="16" style="378" customWidth="1"/>
    <col min="7168" max="7168" width="13.42578125" style="378" bestFit="1" customWidth="1"/>
    <col min="7169" max="7169" width="14.28515625" style="378" bestFit="1" customWidth="1"/>
    <col min="7170" max="7171" width="11.7109375" style="378" bestFit="1" customWidth="1"/>
    <col min="7172" max="7172" width="10.7109375" style="378" bestFit="1" customWidth="1"/>
    <col min="7173" max="7173" width="13.42578125" style="378" bestFit="1" customWidth="1"/>
    <col min="7174" max="7174" width="18.28515625" style="378" bestFit="1" customWidth="1"/>
    <col min="7175" max="7175" width="14" style="378" customWidth="1"/>
    <col min="7176" max="7422" width="9.140625" style="378"/>
    <col min="7423" max="7423" width="16" style="378" customWidth="1"/>
    <col min="7424" max="7424" width="13.42578125" style="378" bestFit="1" customWidth="1"/>
    <col min="7425" max="7425" width="14.28515625" style="378" bestFit="1" customWidth="1"/>
    <col min="7426" max="7427" width="11.7109375" style="378" bestFit="1" customWidth="1"/>
    <col min="7428" max="7428" width="10.7109375" style="378" bestFit="1" customWidth="1"/>
    <col min="7429" max="7429" width="13.42578125" style="378" bestFit="1" customWidth="1"/>
    <col min="7430" max="7430" width="18.28515625" style="378" bestFit="1" customWidth="1"/>
    <col min="7431" max="7431" width="14" style="378" customWidth="1"/>
    <col min="7432" max="7678" width="9.140625" style="378"/>
    <col min="7679" max="7679" width="16" style="378" customWidth="1"/>
    <col min="7680" max="7680" width="13.42578125" style="378" bestFit="1" customWidth="1"/>
    <col min="7681" max="7681" width="14.28515625" style="378" bestFit="1" customWidth="1"/>
    <col min="7682" max="7683" width="11.7109375" style="378" bestFit="1" customWidth="1"/>
    <col min="7684" max="7684" width="10.7109375" style="378" bestFit="1" customWidth="1"/>
    <col min="7685" max="7685" width="13.42578125" style="378" bestFit="1" customWidth="1"/>
    <col min="7686" max="7686" width="18.28515625" style="378" bestFit="1" customWidth="1"/>
    <col min="7687" max="7687" width="14" style="378" customWidth="1"/>
    <col min="7688" max="7934" width="9.140625" style="378"/>
    <col min="7935" max="7935" width="16" style="378" customWidth="1"/>
    <col min="7936" max="7936" width="13.42578125" style="378" bestFit="1" customWidth="1"/>
    <col min="7937" max="7937" width="14.28515625" style="378" bestFit="1" customWidth="1"/>
    <col min="7938" max="7939" width="11.7109375" style="378" bestFit="1" customWidth="1"/>
    <col min="7940" max="7940" width="10.7109375" style="378" bestFit="1" customWidth="1"/>
    <col min="7941" max="7941" width="13.42578125" style="378" bestFit="1" customWidth="1"/>
    <col min="7942" max="7942" width="18.28515625" style="378" bestFit="1" customWidth="1"/>
    <col min="7943" max="7943" width="14" style="378" customWidth="1"/>
    <col min="7944" max="8190" width="9.140625" style="378"/>
    <col min="8191" max="8191" width="16" style="378" customWidth="1"/>
    <col min="8192" max="8192" width="13.42578125" style="378" bestFit="1" customWidth="1"/>
    <col min="8193" max="8193" width="14.28515625" style="378" bestFit="1" customWidth="1"/>
    <col min="8194" max="8195" width="11.7109375" style="378" bestFit="1" customWidth="1"/>
    <col min="8196" max="8196" width="10.7109375" style="378" bestFit="1" customWidth="1"/>
    <col min="8197" max="8197" width="13.42578125" style="378" bestFit="1" customWidth="1"/>
    <col min="8198" max="8198" width="18.28515625" style="378" bestFit="1" customWidth="1"/>
    <col min="8199" max="8199" width="14" style="378" customWidth="1"/>
    <col min="8200" max="8446" width="9.140625" style="378"/>
    <col min="8447" max="8447" width="16" style="378" customWidth="1"/>
    <col min="8448" max="8448" width="13.42578125" style="378" bestFit="1" customWidth="1"/>
    <col min="8449" max="8449" width="14.28515625" style="378" bestFit="1" customWidth="1"/>
    <col min="8450" max="8451" width="11.7109375" style="378" bestFit="1" customWidth="1"/>
    <col min="8452" max="8452" width="10.7109375" style="378" bestFit="1" customWidth="1"/>
    <col min="8453" max="8453" width="13.42578125" style="378" bestFit="1" customWidth="1"/>
    <col min="8454" max="8454" width="18.28515625" style="378" bestFit="1" customWidth="1"/>
    <col min="8455" max="8455" width="14" style="378" customWidth="1"/>
    <col min="8456" max="8702" width="9.140625" style="378"/>
    <col min="8703" max="8703" width="16" style="378" customWidth="1"/>
    <col min="8704" max="8704" width="13.42578125" style="378" bestFit="1" customWidth="1"/>
    <col min="8705" max="8705" width="14.28515625" style="378" bestFit="1" customWidth="1"/>
    <col min="8706" max="8707" width="11.7109375" style="378" bestFit="1" customWidth="1"/>
    <col min="8708" max="8708" width="10.7109375" style="378" bestFit="1" customWidth="1"/>
    <col min="8709" max="8709" width="13.42578125" style="378" bestFit="1" customWidth="1"/>
    <col min="8710" max="8710" width="18.28515625" style="378" bestFit="1" customWidth="1"/>
    <col min="8711" max="8711" width="14" style="378" customWidth="1"/>
    <col min="8712" max="8958" width="9.140625" style="378"/>
    <col min="8959" max="8959" width="16" style="378" customWidth="1"/>
    <col min="8960" max="8960" width="13.42578125" style="378" bestFit="1" customWidth="1"/>
    <col min="8961" max="8961" width="14.28515625" style="378" bestFit="1" customWidth="1"/>
    <col min="8962" max="8963" width="11.7109375" style="378" bestFit="1" customWidth="1"/>
    <col min="8964" max="8964" width="10.7109375" style="378" bestFit="1" customWidth="1"/>
    <col min="8965" max="8965" width="13.42578125" style="378" bestFit="1" customWidth="1"/>
    <col min="8966" max="8966" width="18.28515625" style="378" bestFit="1" customWidth="1"/>
    <col min="8967" max="8967" width="14" style="378" customWidth="1"/>
    <col min="8968" max="9214" width="9.140625" style="378"/>
    <col min="9215" max="9215" width="16" style="378" customWidth="1"/>
    <col min="9216" max="9216" width="13.42578125" style="378" bestFit="1" customWidth="1"/>
    <col min="9217" max="9217" width="14.28515625" style="378" bestFit="1" customWidth="1"/>
    <col min="9218" max="9219" width="11.7109375" style="378" bestFit="1" customWidth="1"/>
    <col min="9220" max="9220" width="10.7109375" style="378" bestFit="1" customWidth="1"/>
    <col min="9221" max="9221" width="13.42578125" style="378" bestFit="1" customWidth="1"/>
    <col min="9222" max="9222" width="18.28515625" style="378" bestFit="1" customWidth="1"/>
    <col min="9223" max="9223" width="14" style="378" customWidth="1"/>
    <col min="9224" max="9470" width="9.140625" style="378"/>
    <col min="9471" max="9471" width="16" style="378" customWidth="1"/>
    <col min="9472" max="9472" width="13.42578125" style="378" bestFit="1" customWidth="1"/>
    <col min="9473" max="9473" width="14.28515625" style="378" bestFit="1" customWidth="1"/>
    <col min="9474" max="9475" width="11.7109375" style="378" bestFit="1" customWidth="1"/>
    <col min="9476" max="9476" width="10.7109375" style="378" bestFit="1" customWidth="1"/>
    <col min="9477" max="9477" width="13.42578125" style="378" bestFit="1" customWidth="1"/>
    <col min="9478" max="9478" width="18.28515625" style="378" bestFit="1" customWidth="1"/>
    <col min="9479" max="9479" width="14" style="378" customWidth="1"/>
    <col min="9480" max="9726" width="9.140625" style="378"/>
    <col min="9727" max="9727" width="16" style="378" customWidth="1"/>
    <col min="9728" max="9728" width="13.42578125" style="378" bestFit="1" customWidth="1"/>
    <col min="9729" max="9729" width="14.28515625" style="378" bestFit="1" customWidth="1"/>
    <col min="9730" max="9731" width="11.7109375" style="378" bestFit="1" customWidth="1"/>
    <col min="9732" max="9732" width="10.7109375" style="378" bestFit="1" customWidth="1"/>
    <col min="9733" max="9733" width="13.42578125" style="378" bestFit="1" customWidth="1"/>
    <col min="9734" max="9734" width="18.28515625" style="378" bestFit="1" customWidth="1"/>
    <col min="9735" max="9735" width="14" style="378" customWidth="1"/>
    <col min="9736" max="9982" width="9.140625" style="378"/>
    <col min="9983" max="9983" width="16" style="378" customWidth="1"/>
    <col min="9984" max="9984" width="13.42578125" style="378" bestFit="1" customWidth="1"/>
    <col min="9985" max="9985" width="14.28515625" style="378" bestFit="1" customWidth="1"/>
    <col min="9986" max="9987" width="11.7109375" style="378" bestFit="1" customWidth="1"/>
    <col min="9988" max="9988" width="10.7109375" style="378" bestFit="1" customWidth="1"/>
    <col min="9989" max="9989" width="13.42578125" style="378" bestFit="1" customWidth="1"/>
    <col min="9990" max="9990" width="18.28515625" style="378" bestFit="1" customWidth="1"/>
    <col min="9991" max="9991" width="14" style="378" customWidth="1"/>
    <col min="9992" max="10238" width="9.140625" style="378"/>
    <col min="10239" max="10239" width="16" style="378" customWidth="1"/>
    <col min="10240" max="10240" width="13.42578125" style="378" bestFit="1" customWidth="1"/>
    <col min="10241" max="10241" width="14.28515625" style="378" bestFit="1" customWidth="1"/>
    <col min="10242" max="10243" width="11.7109375" style="378" bestFit="1" customWidth="1"/>
    <col min="10244" max="10244" width="10.7109375" style="378" bestFit="1" customWidth="1"/>
    <col min="10245" max="10245" width="13.42578125" style="378" bestFit="1" customWidth="1"/>
    <col min="10246" max="10246" width="18.28515625" style="378" bestFit="1" customWidth="1"/>
    <col min="10247" max="10247" width="14" style="378" customWidth="1"/>
    <col min="10248" max="10494" width="9.140625" style="378"/>
    <col min="10495" max="10495" width="16" style="378" customWidth="1"/>
    <col min="10496" max="10496" width="13.42578125" style="378" bestFit="1" customWidth="1"/>
    <col min="10497" max="10497" width="14.28515625" style="378" bestFit="1" customWidth="1"/>
    <col min="10498" max="10499" width="11.7109375" style="378" bestFit="1" customWidth="1"/>
    <col min="10500" max="10500" width="10.7109375" style="378" bestFit="1" customWidth="1"/>
    <col min="10501" max="10501" width="13.42578125" style="378" bestFit="1" customWidth="1"/>
    <col min="10502" max="10502" width="18.28515625" style="378" bestFit="1" customWidth="1"/>
    <col min="10503" max="10503" width="14" style="378" customWidth="1"/>
    <col min="10504" max="10750" width="9.140625" style="378"/>
    <col min="10751" max="10751" width="16" style="378" customWidth="1"/>
    <col min="10752" max="10752" width="13.42578125" style="378" bestFit="1" customWidth="1"/>
    <col min="10753" max="10753" width="14.28515625" style="378" bestFit="1" customWidth="1"/>
    <col min="10754" max="10755" width="11.7109375" style="378" bestFit="1" customWidth="1"/>
    <col min="10756" max="10756" width="10.7109375" style="378" bestFit="1" customWidth="1"/>
    <col min="10757" max="10757" width="13.42578125" style="378" bestFit="1" customWidth="1"/>
    <col min="10758" max="10758" width="18.28515625" style="378" bestFit="1" customWidth="1"/>
    <col min="10759" max="10759" width="14" style="378" customWidth="1"/>
    <col min="10760" max="11006" width="9.140625" style="378"/>
    <col min="11007" max="11007" width="16" style="378" customWidth="1"/>
    <col min="11008" max="11008" width="13.42578125" style="378" bestFit="1" customWidth="1"/>
    <col min="11009" max="11009" width="14.28515625" style="378" bestFit="1" customWidth="1"/>
    <col min="11010" max="11011" width="11.7109375" style="378" bestFit="1" customWidth="1"/>
    <col min="11012" max="11012" width="10.7109375" style="378" bestFit="1" customWidth="1"/>
    <col min="11013" max="11013" width="13.42578125" style="378" bestFit="1" customWidth="1"/>
    <col min="11014" max="11014" width="18.28515625" style="378" bestFit="1" customWidth="1"/>
    <col min="11015" max="11015" width="14" style="378" customWidth="1"/>
    <col min="11016" max="11262" width="9.140625" style="378"/>
    <col min="11263" max="11263" width="16" style="378" customWidth="1"/>
    <col min="11264" max="11264" width="13.42578125" style="378" bestFit="1" customWidth="1"/>
    <col min="11265" max="11265" width="14.28515625" style="378" bestFit="1" customWidth="1"/>
    <col min="11266" max="11267" width="11.7109375" style="378" bestFit="1" customWidth="1"/>
    <col min="11268" max="11268" width="10.7109375" style="378" bestFit="1" customWidth="1"/>
    <col min="11269" max="11269" width="13.42578125" style="378" bestFit="1" customWidth="1"/>
    <col min="11270" max="11270" width="18.28515625" style="378" bestFit="1" customWidth="1"/>
    <col min="11271" max="11271" width="14" style="378" customWidth="1"/>
    <col min="11272" max="11518" width="9.140625" style="378"/>
    <col min="11519" max="11519" width="16" style="378" customWidth="1"/>
    <col min="11520" max="11520" width="13.42578125" style="378" bestFit="1" customWidth="1"/>
    <col min="11521" max="11521" width="14.28515625" style="378" bestFit="1" customWidth="1"/>
    <col min="11522" max="11523" width="11.7109375" style="378" bestFit="1" customWidth="1"/>
    <col min="11524" max="11524" width="10.7109375" style="378" bestFit="1" customWidth="1"/>
    <col min="11525" max="11525" width="13.42578125" style="378" bestFit="1" customWidth="1"/>
    <col min="11526" max="11526" width="18.28515625" style="378" bestFit="1" customWidth="1"/>
    <col min="11527" max="11527" width="14" style="378" customWidth="1"/>
    <col min="11528" max="11774" width="9.140625" style="378"/>
    <col min="11775" max="11775" width="16" style="378" customWidth="1"/>
    <col min="11776" max="11776" width="13.42578125" style="378" bestFit="1" customWidth="1"/>
    <col min="11777" max="11777" width="14.28515625" style="378" bestFit="1" customWidth="1"/>
    <col min="11778" max="11779" width="11.7109375" style="378" bestFit="1" customWidth="1"/>
    <col min="11780" max="11780" width="10.7109375" style="378" bestFit="1" customWidth="1"/>
    <col min="11781" max="11781" width="13.42578125" style="378" bestFit="1" customWidth="1"/>
    <col min="11782" max="11782" width="18.28515625" style="378" bestFit="1" customWidth="1"/>
    <col min="11783" max="11783" width="14" style="378" customWidth="1"/>
    <col min="11784" max="12030" width="9.140625" style="378"/>
    <col min="12031" max="12031" width="16" style="378" customWidth="1"/>
    <col min="12032" max="12032" width="13.42578125" style="378" bestFit="1" customWidth="1"/>
    <col min="12033" max="12033" width="14.28515625" style="378" bestFit="1" customWidth="1"/>
    <col min="12034" max="12035" width="11.7109375" style="378" bestFit="1" customWidth="1"/>
    <col min="12036" max="12036" width="10.7109375" style="378" bestFit="1" customWidth="1"/>
    <col min="12037" max="12037" width="13.42578125" style="378" bestFit="1" customWidth="1"/>
    <col min="12038" max="12038" width="18.28515625" style="378" bestFit="1" customWidth="1"/>
    <col min="12039" max="12039" width="14" style="378" customWidth="1"/>
    <col min="12040" max="12286" width="9.140625" style="378"/>
    <col min="12287" max="12287" width="16" style="378" customWidth="1"/>
    <col min="12288" max="12288" width="13.42578125" style="378" bestFit="1" customWidth="1"/>
    <col min="12289" max="12289" width="14.28515625" style="378" bestFit="1" customWidth="1"/>
    <col min="12290" max="12291" width="11.7109375" style="378" bestFit="1" customWidth="1"/>
    <col min="12292" max="12292" width="10.7109375" style="378" bestFit="1" customWidth="1"/>
    <col min="12293" max="12293" width="13.42578125" style="378" bestFit="1" customWidth="1"/>
    <col min="12294" max="12294" width="18.28515625" style="378" bestFit="1" customWidth="1"/>
    <col min="12295" max="12295" width="14" style="378" customWidth="1"/>
    <col min="12296" max="12542" width="9.140625" style="378"/>
    <col min="12543" max="12543" width="16" style="378" customWidth="1"/>
    <col min="12544" max="12544" width="13.42578125" style="378" bestFit="1" customWidth="1"/>
    <col min="12545" max="12545" width="14.28515625" style="378" bestFit="1" customWidth="1"/>
    <col min="12546" max="12547" width="11.7109375" style="378" bestFit="1" customWidth="1"/>
    <col min="12548" max="12548" width="10.7109375" style="378" bestFit="1" customWidth="1"/>
    <col min="12549" max="12549" width="13.42578125" style="378" bestFit="1" customWidth="1"/>
    <col min="12550" max="12550" width="18.28515625" style="378" bestFit="1" customWidth="1"/>
    <col min="12551" max="12551" width="14" style="378" customWidth="1"/>
    <col min="12552" max="12798" width="9.140625" style="378"/>
    <col min="12799" max="12799" width="16" style="378" customWidth="1"/>
    <col min="12800" max="12800" width="13.42578125" style="378" bestFit="1" customWidth="1"/>
    <col min="12801" max="12801" width="14.28515625" style="378" bestFit="1" customWidth="1"/>
    <col min="12802" max="12803" width="11.7109375" style="378" bestFit="1" customWidth="1"/>
    <col min="12804" max="12804" width="10.7109375" style="378" bestFit="1" customWidth="1"/>
    <col min="12805" max="12805" width="13.42578125" style="378" bestFit="1" customWidth="1"/>
    <col min="12806" max="12806" width="18.28515625" style="378" bestFit="1" customWidth="1"/>
    <col min="12807" max="12807" width="14" style="378" customWidth="1"/>
    <col min="12808" max="13054" width="9.140625" style="378"/>
    <col min="13055" max="13055" width="16" style="378" customWidth="1"/>
    <col min="13056" max="13056" width="13.42578125" style="378" bestFit="1" customWidth="1"/>
    <col min="13057" max="13057" width="14.28515625" style="378" bestFit="1" customWidth="1"/>
    <col min="13058" max="13059" width="11.7109375" style="378" bestFit="1" customWidth="1"/>
    <col min="13060" max="13060" width="10.7109375" style="378" bestFit="1" customWidth="1"/>
    <col min="13061" max="13061" width="13.42578125" style="378" bestFit="1" customWidth="1"/>
    <col min="13062" max="13062" width="18.28515625" style="378" bestFit="1" customWidth="1"/>
    <col min="13063" max="13063" width="14" style="378" customWidth="1"/>
    <col min="13064" max="13310" width="9.140625" style="378"/>
    <col min="13311" max="13311" width="16" style="378" customWidth="1"/>
    <col min="13312" max="13312" width="13.42578125" style="378" bestFit="1" customWidth="1"/>
    <col min="13313" max="13313" width="14.28515625" style="378" bestFit="1" customWidth="1"/>
    <col min="13314" max="13315" width="11.7109375" style="378" bestFit="1" customWidth="1"/>
    <col min="13316" max="13316" width="10.7109375" style="378" bestFit="1" customWidth="1"/>
    <col min="13317" max="13317" width="13.42578125" style="378" bestFit="1" customWidth="1"/>
    <col min="13318" max="13318" width="18.28515625" style="378" bestFit="1" customWidth="1"/>
    <col min="13319" max="13319" width="14" style="378" customWidth="1"/>
    <col min="13320" max="13566" width="9.140625" style="378"/>
    <col min="13567" max="13567" width="16" style="378" customWidth="1"/>
    <col min="13568" max="13568" width="13.42578125" style="378" bestFit="1" customWidth="1"/>
    <col min="13569" max="13569" width="14.28515625" style="378" bestFit="1" customWidth="1"/>
    <col min="13570" max="13571" width="11.7109375" style="378" bestFit="1" customWidth="1"/>
    <col min="13572" max="13572" width="10.7109375" style="378" bestFit="1" customWidth="1"/>
    <col min="13573" max="13573" width="13.42578125" style="378" bestFit="1" customWidth="1"/>
    <col min="13574" max="13574" width="18.28515625" style="378" bestFit="1" customWidth="1"/>
    <col min="13575" max="13575" width="14" style="378" customWidth="1"/>
    <col min="13576" max="13822" width="9.140625" style="378"/>
    <col min="13823" max="13823" width="16" style="378" customWidth="1"/>
    <col min="13824" max="13824" width="13.42578125" style="378" bestFit="1" customWidth="1"/>
    <col min="13825" max="13825" width="14.28515625" style="378" bestFit="1" customWidth="1"/>
    <col min="13826" max="13827" width="11.7109375" style="378" bestFit="1" customWidth="1"/>
    <col min="13828" max="13828" width="10.7109375" style="378" bestFit="1" customWidth="1"/>
    <col min="13829" max="13829" width="13.42578125" style="378" bestFit="1" customWidth="1"/>
    <col min="13830" max="13830" width="18.28515625" style="378" bestFit="1" customWidth="1"/>
    <col min="13831" max="13831" width="14" style="378" customWidth="1"/>
    <col min="13832" max="14078" width="9.140625" style="378"/>
    <col min="14079" max="14079" width="16" style="378" customWidth="1"/>
    <col min="14080" max="14080" width="13.42578125" style="378" bestFit="1" customWidth="1"/>
    <col min="14081" max="14081" width="14.28515625" style="378" bestFit="1" customWidth="1"/>
    <col min="14082" max="14083" width="11.7109375" style="378" bestFit="1" customWidth="1"/>
    <col min="14084" max="14084" width="10.7109375" style="378" bestFit="1" customWidth="1"/>
    <col min="14085" max="14085" width="13.42578125" style="378" bestFit="1" customWidth="1"/>
    <col min="14086" max="14086" width="18.28515625" style="378" bestFit="1" customWidth="1"/>
    <col min="14087" max="14087" width="14" style="378" customWidth="1"/>
    <col min="14088" max="14334" width="9.140625" style="378"/>
    <col min="14335" max="14335" width="16" style="378" customWidth="1"/>
    <col min="14336" max="14336" width="13.42578125" style="378" bestFit="1" customWidth="1"/>
    <col min="14337" max="14337" width="14.28515625" style="378" bestFit="1" customWidth="1"/>
    <col min="14338" max="14339" width="11.7109375" style="378" bestFit="1" customWidth="1"/>
    <col min="14340" max="14340" width="10.7109375" style="378" bestFit="1" customWidth="1"/>
    <col min="14341" max="14341" width="13.42578125" style="378" bestFit="1" customWidth="1"/>
    <col min="14342" max="14342" width="18.28515625" style="378" bestFit="1" customWidth="1"/>
    <col min="14343" max="14343" width="14" style="378" customWidth="1"/>
    <col min="14344" max="14590" width="9.140625" style="378"/>
    <col min="14591" max="14591" width="16" style="378" customWidth="1"/>
    <col min="14592" max="14592" width="13.42578125" style="378" bestFit="1" customWidth="1"/>
    <col min="14593" max="14593" width="14.28515625" style="378" bestFit="1" customWidth="1"/>
    <col min="14594" max="14595" width="11.7109375" style="378" bestFit="1" customWidth="1"/>
    <col min="14596" max="14596" width="10.7109375" style="378" bestFit="1" customWidth="1"/>
    <col min="14597" max="14597" width="13.42578125" style="378" bestFit="1" customWidth="1"/>
    <col min="14598" max="14598" width="18.28515625" style="378" bestFit="1" customWidth="1"/>
    <col min="14599" max="14599" width="14" style="378" customWidth="1"/>
    <col min="14600" max="14846" width="9.140625" style="378"/>
    <col min="14847" max="14847" width="16" style="378" customWidth="1"/>
    <col min="14848" max="14848" width="13.42578125" style="378" bestFit="1" customWidth="1"/>
    <col min="14849" max="14849" width="14.28515625" style="378" bestFit="1" customWidth="1"/>
    <col min="14850" max="14851" width="11.7109375" style="378" bestFit="1" customWidth="1"/>
    <col min="14852" max="14852" width="10.7109375" style="378" bestFit="1" customWidth="1"/>
    <col min="14853" max="14853" width="13.42578125" style="378" bestFit="1" customWidth="1"/>
    <col min="14854" max="14854" width="18.28515625" style="378" bestFit="1" customWidth="1"/>
    <col min="14855" max="14855" width="14" style="378" customWidth="1"/>
    <col min="14856" max="15102" width="9.140625" style="378"/>
    <col min="15103" max="15103" width="16" style="378" customWidth="1"/>
    <col min="15104" max="15104" width="13.42578125" style="378" bestFit="1" customWidth="1"/>
    <col min="15105" max="15105" width="14.28515625" style="378" bestFit="1" customWidth="1"/>
    <col min="15106" max="15107" width="11.7109375" style="378" bestFit="1" customWidth="1"/>
    <col min="15108" max="15108" width="10.7109375" style="378" bestFit="1" customWidth="1"/>
    <col min="15109" max="15109" width="13.42578125" style="378" bestFit="1" customWidth="1"/>
    <col min="15110" max="15110" width="18.28515625" style="378" bestFit="1" customWidth="1"/>
    <col min="15111" max="15111" width="14" style="378" customWidth="1"/>
    <col min="15112" max="15358" width="9.140625" style="378"/>
    <col min="15359" max="15359" width="16" style="378" customWidth="1"/>
    <col min="15360" max="15360" width="13.42578125" style="378" bestFit="1" customWidth="1"/>
    <col min="15361" max="15361" width="14.28515625" style="378" bestFit="1" customWidth="1"/>
    <col min="15362" max="15363" width="11.7109375" style="378" bestFit="1" customWidth="1"/>
    <col min="15364" max="15364" width="10.7109375" style="378" bestFit="1" customWidth="1"/>
    <col min="15365" max="15365" width="13.42578125" style="378" bestFit="1" customWidth="1"/>
    <col min="15366" max="15366" width="18.28515625" style="378" bestFit="1" customWidth="1"/>
    <col min="15367" max="15367" width="14" style="378" customWidth="1"/>
    <col min="15368" max="15614" width="9.140625" style="378"/>
    <col min="15615" max="15615" width="16" style="378" customWidth="1"/>
    <col min="15616" max="15616" width="13.42578125" style="378" bestFit="1" customWidth="1"/>
    <col min="15617" max="15617" width="14.28515625" style="378" bestFit="1" customWidth="1"/>
    <col min="15618" max="15619" width="11.7109375" style="378" bestFit="1" customWidth="1"/>
    <col min="15620" max="15620" width="10.7109375" style="378" bestFit="1" customWidth="1"/>
    <col min="15621" max="15621" width="13.42578125" style="378" bestFit="1" customWidth="1"/>
    <col min="15622" max="15622" width="18.28515625" style="378" bestFit="1" customWidth="1"/>
    <col min="15623" max="15623" width="14" style="378" customWidth="1"/>
    <col min="15624" max="15870" width="9.140625" style="378"/>
    <col min="15871" max="15871" width="16" style="378" customWidth="1"/>
    <col min="15872" max="15872" width="13.42578125" style="378" bestFit="1" customWidth="1"/>
    <col min="15873" max="15873" width="14.28515625" style="378" bestFit="1" customWidth="1"/>
    <col min="15874" max="15875" width="11.7109375" style="378" bestFit="1" customWidth="1"/>
    <col min="15876" max="15876" width="10.7109375" style="378" bestFit="1" customWidth="1"/>
    <col min="15877" max="15877" width="13.42578125" style="378" bestFit="1" customWidth="1"/>
    <col min="15878" max="15878" width="18.28515625" style="378" bestFit="1" customWidth="1"/>
    <col min="15879" max="15879" width="14" style="378" customWidth="1"/>
    <col min="15880" max="16126" width="9.140625" style="378"/>
    <col min="16127" max="16127" width="16" style="378" customWidth="1"/>
    <col min="16128" max="16128" width="13.42578125" style="378" bestFit="1" customWidth="1"/>
    <col min="16129" max="16129" width="14.28515625" style="378" bestFit="1" customWidth="1"/>
    <col min="16130" max="16131" width="11.7109375" style="378" bestFit="1" customWidth="1"/>
    <col min="16132" max="16132" width="10.7109375" style="378" bestFit="1" customWidth="1"/>
    <col min="16133" max="16133" width="13.42578125" style="378" bestFit="1" customWidth="1"/>
    <col min="16134" max="16134" width="18.28515625" style="378" bestFit="1" customWidth="1"/>
    <col min="16135" max="16135" width="14" style="378" customWidth="1"/>
    <col min="16136" max="16384" width="9.140625" style="378"/>
  </cols>
  <sheetData>
    <row r="1" spans="1:7" ht="15" x14ac:dyDescent="0.25">
      <c r="A1" s="403" t="s">
        <v>270</v>
      </c>
      <c r="B1" s="403"/>
      <c r="C1" s="401"/>
    </row>
    <row r="2" spans="1:7" ht="15.75" thickBot="1" x14ac:dyDescent="0.3">
      <c r="A2" s="403"/>
      <c r="B2" s="402"/>
      <c r="C2" s="401"/>
    </row>
    <row r="3" spans="1:7" ht="13.5" thickBot="1" x14ac:dyDescent="0.25">
      <c r="D3" s="645" t="s">
        <v>26</v>
      </c>
      <c r="E3" s="646"/>
      <c r="F3" s="647"/>
    </row>
    <row r="4" spans="1:7" ht="27" thickBot="1" x14ac:dyDescent="0.3">
      <c r="B4" s="648" t="s">
        <v>257</v>
      </c>
      <c r="C4" s="649"/>
      <c r="D4" s="399">
        <v>2021</v>
      </c>
      <c r="E4" s="398">
        <v>2022</v>
      </c>
      <c r="F4" s="397">
        <v>2023</v>
      </c>
      <c r="G4" s="396" t="s">
        <v>256</v>
      </c>
    </row>
    <row r="5" spans="1:7" ht="15" x14ac:dyDescent="0.25">
      <c r="B5" s="395" t="s">
        <v>8</v>
      </c>
      <c r="C5" s="394">
        <v>200000</v>
      </c>
      <c r="D5" s="393"/>
      <c r="E5" s="392"/>
      <c r="F5" s="391"/>
      <c r="G5" s="385"/>
    </row>
    <row r="6" spans="1:7" ht="15" x14ac:dyDescent="0.25">
      <c r="B6" s="298" t="s">
        <v>9</v>
      </c>
      <c r="C6" s="389">
        <v>15000</v>
      </c>
      <c r="D6" s="393"/>
      <c r="E6" s="392"/>
      <c r="F6" s="391"/>
      <c r="G6" s="385"/>
    </row>
    <row r="7" spans="1:7" ht="15" x14ac:dyDescent="0.25">
      <c r="B7" s="298" t="s">
        <v>10</v>
      </c>
      <c r="C7" s="389">
        <v>20000</v>
      </c>
      <c r="D7" s="388"/>
      <c r="E7" s="392"/>
      <c r="F7" s="391"/>
      <c r="G7" s="385"/>
    </row>
    <row r="8" spans="1:7" ht="15" x14ac:dyDescent="0.25">
      <c r="B8" s="298" t="s">
        <v>255</v>
      </c>
      <c r="C8" s="389">
        <v>0</v>
      </c>
      <c r="D8" s="388"/>
      <c r="E8" s="387"/>
      <c r="F8" s="386"/>
      <c r="G8" s="385"/>
    </row>
    <row r="9" spans="1:7" ht="15" x14ac:dyDescent="0.25">
      <c r="B9" s="298" t="s">
        <v>254</v>
      </c>
      <c r="C9" s="389">
        <v>0</v>
      </c>
      <c r="D9" s="388"/>
      <c r="E9" s="387"/>
      <c r="F9" s="391"/>
      <c r="G9" s="431"/>
    </row>
    <row r="10" spans="1:7" ht="15" x14ac:dyDescent="0.25">
      <c r="B10" s="298" t="s">
        <v>253</v>
      </c>
      <c r="C10" s="389">
        <v>1800000</v>
      </c>
      <c r="D10" s="388"/>
      <c r="E10" s="392"/>
      <c r="F10" s="391"/>
      <c r="G10" s="385"/>
    </row>
    <row r="11" spans="1:7" ht="15" x14ac:dyDescent="0.25">
      <c r="B11" s="298" t="s">
        <v>252</v>
      </c>
      <c r="C11" s="389">
        <v>0</v>
      </c>
      <c r="D11" s="388"/>
      <c r="E11" s="387"/>
      <c r="F11" s="386"/>
      <c r="G11" s="385"/>
    </row>
    <row r="12" spans="1:7" ht="15" customHeight="1" x14ac:dyDescent="0.25">
      <c r="B12" s="298" t="s">
        <v>167</v>
      </c>
      <c r="C12" s="389">
        <v>25000</v>
      </c>
      <c r="D12" s="388"/>
      <c r="E12" s="387"/>
      <c r="F12" s="386"/>
      <c r="G12" s="385"/>
    </row>
    <row r="13" spans="1:7" ht="15" x14ac:dyDescent="0.25">
      <c r="B13" s="390" t="s">
        <v>251</v>
      </c>
      <c r="C13" s="389">
        <f>SUM(C5:C12)</f>
        <v>2060000</v>
      </c>
      <c r="D13" s="388"/>
      <c r="E13" s="387"/>
      <c r="F13" s="386"/>
      <c r="G13" s="385"/>
    </row>
    <row r="14" spans="1:7" ht="15" x14ac:dyDescent="0.25">
      <c r="B14" s="298" t="s">
        <v>250</v>
      </c>
      <c r="C14" s="389">
        <v>4000</v>
      </c>
      <c r="D14" s="388"/>
      <c r="E14" s="387"/>
      <c r="F14" s="386"/>
      <c r="G14" s="385"/>
    </row>
    <row r="15" spans="1:7" ht="15.75" thickBot="1" x14ac:dyDescent="0.3">
      <c r="B15" s="384" t="s">
        <v>249</v>
      </c>
      <c r="C15" s="383">
        <f>C13+C14</f>
        <v>2064000</v>
      </c>
      <c r="D15" s="382"/>
      <c r="E15" s="382"/>
      <c r="F15" s="382"/>
      <c r="G15" s="381"/>
    </row>
    <row r="16" spans="1:7" ht="13.5" thickTop="1" x14ac:dyDescent="0.2"/>
    <row r="27" spans="1:1" x14ac:dyDescent="0.2">
      <c r="A27" s="380"/>
    </row>
    <row r="34" spans="2:6" x14ac:dyDescent="0.2">
      <c r="B34" s="421"/>
      <c r="C34" s="421"/>
      <c r="D34" s="421"/>
      <c r="E34" s="421"/>
      <c r="F34" s="421"/>
    </row>
    <row r="35" spans="2:6" x14ac:dyDescent="0.2">
      <c r="B35" s="421"/>
      <c r="C35" s="421"/>
      <c r="D35" s="421"/>
      <c r="E35" s="421"/>
      <c r="F35" s="421"/>
    </row>
    <row r="36" spans="2:6" x14ac:dyDescent="0.2">
      <c r="B36" s="421"/>
      <c r="C36" s="421"/>
      <c r="D36" s="421"/>
      <c r="E36" s="421"/>
      <c r="F36" s="421"/>
    </row>
    <row r="37" spans="2:6" x14ac:dyDescent="0.2">
      <c r="B37" s="422"/>
      <c r="C37" s="423"/>
      <c r="D37" s="424"/>
      <c r="E37" s="421"/>
      <c r="F37" s="421"/>
    </row>
    <row r="38" spans="2:6" x14ac:dyDescent="0.2">
      <c r="B38" s="421"/>
      <c r="C38" s="425"/>
      <c r="D38" s="421"/>
      <c r="E38" s="421"/>
      <c r="F38" s="421"/>
    </row>
    <row r="39" spans="2:6" x14ac:dyDescent="0.2">
      <c r="B39" s="426"/>
      <c r="C39" s="425"/>
      <c r="D39" s="421"/>
      <c r="E39" s="421"/>
      <c r="F39" s="421"/>
    </row>
    <row r="40" spans="2:6" ht="15.75" x14ac:dyDescent="0.25">
      <c r="B40" s="427"/>
      <c r="C40" s="428"/>
      <c r="D40" s="429"/>
      <c r="E40" s="421"/>
      <c r="F40" s="421"/>
    </row>
    <row r="41" spans="2:6" x14ac:dyDescent="0.2">
      <c r="B41" s="421"/>
      <c r="C41" s="421"/>
      <c r="D41" s="421"/>
      <c r="E41" s="421"/>
      <c r="F41" s="421"/>
    </row>
    <row r="42" spans="2:6" x14ac:dyDescent="0.2">
      <c r="B42" s="421"/>
      <c r="C42" s="421"/>
      <c r="D42" s="421"/>
      <c r="E42" s="421"/>
      <c r="F42" s="421"/>
    </row>
    <row r="43" spans="2:6" x14ac:dyDescent="0.2">
      <c r="B43" s="430"/>
      <c r="C43" s="421"/>
      <c r="D43" s="421"/>
      <c r="E43" s="421"/>
      <c r="F43" s="421"/>
    </row>
    <row r="44" spans="2:6" x14ac:dyDescent="0.2">
      <c r="B44" s="421"/>
      <c r="C44" s="426"/>
      <c r="D44" s="421"/>
      <c r="E44" s="421"/>
      <c r="F44" s="421"/>
    </row>
    <row r="45" spans="2:6" x14ac:dyDescent="0.2">
      <c r="B45" s="421"/>
      <c r="C45" s="421"/>
      <c r="D45" s="421"/>
      <c r="E45" s="421"/>
      <c r="F45" s="421"/>
    </row>
    <row r="94" spans="1:7" ht="15" x14ac:dyDescent="0.25">
      <c r="A94"/>
      <c r="B94"/>
      <c r="C94" s="173"/>
      <c r="D94" s="173"/>
      <c r="E94" s="173"/>
      <c r="F94" s="173"/>
      <c r="G94" s="173"/>
    </row>
    <row r="101" spans="3:3" x14ac:dyDescent="0.2">
      <c r="C101" s="379"/>
    </row>
  </sheetData>
  <mergeCells count="2">
    <mergeCell ref="D3:F3"/>
    <mergeCell ref="B4:C4"/>
  </mergeCells>
  <printOptions horizontalCentered="1"/>
  <pageMargins left="0.25" right="0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Performance</vt:lpstr>
      <vt:lpstr>Expenditures</vt:lpstr>
      <vt:lpstr>Cumulative Data</vt:lpstr>
      <vt:lpstr>Partner 1 Data</vt:lpstr>
      <vt:lpstr>Partner 2 Data</vt:lpstr>
      <vt:lpstr>Partner 3 Data</vt:lpstr>
      <vt:lpstr>Partner 4 Data</vt:lpstr>
      <vt:lpstr>SOM Budget</vt:lpstr>
      <vt:lpstr>MARS Draw Plus</vt:lpstr>
      <vt:lpstr>MARS Exp Report</vt:lpstr>
      <vt:lpstr>EDB</vt:lpstr>
      <vt:lpstr>Training APEX Query</vt:lpstr>
      <vt:lpstr>Formula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Drew (LEO)</dc:creator>
  <cp:lastModifiedBy>Winter, Drew (LEO)</cp:lastModifiedBy>
  <dcterms:created xsi:type="dcterms:W3CDTF">2022-03-22T20:05:41Z</dcterms:created>
  <dcterms:modified xsi:type="dcterms:W3CDTF">2024-07-09T19:45:19Z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2022-03-22T20:43:49Z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4b5e7a46-1139-4301-9bd7-60c560e839be</vt:lpwstr>
  </property>
  <property fmtid="{D5CDD505-2E9C-101B-9397-08002B2CF9AE}" pid="8" name="MSIP_Label_3a2fed65-62e7-46ea-af74-187e0c17143a_ContentBits">
    <vt:lpwstr>0</vt:lpwstr>
  </property>
</Properties>
</file>