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w.bennett\AppData\Roaming\QGIS\QGIS3\profiles\default\python\plugins\pts_tools\vcs\test\"/>
    </mc:Choice>
  </mc:AlternateContent>
  <xr:revisionPtr revIDLastSave="0" documentId="13_ncr:1_{82BB73E2-C799-406F-A10C-4C5D194855EC}" xr6:coauthVersionLast="47" xr6:coauthVersionMax="47" xr10:uidLastSave="{00000000-0000-0000-0000-000000000000}"/>
  <bookViews>
    <workbookView xWindow="-108" yWindow="-108" windowWidth="23256" windowHeight="12456" tabRatio="970" activeTab="2" xr2:uid="{00000000-000D-0000-FFFF-FFFF00000000}"/>
  </bookViews>
  <sheets>
    <sheet name="NEED" sheetId="1" r:id="rId1"/>
    <sheet name="VCS (1)" sheetId="5" r:id="rId2"/>
    <sheet name="VCS (2)" sheetId="6" r:id="rId3"/>
    <sheet name="VCS (3)" sheetId="7" r:id="rId4"/>
    <sheet name="VCS (4)" sheetId="8" r:id="rId5"/>
    <sheet name="VCS (4.1)" sheetId="24" r:id="rId6"/>
    <sheet name="VCS (5)" sheetId="9" r:id="rId7"/>
    <sheet name="VCS (6)" sheetId="10" r:id="rId8"/>
    <sheet name="VCS (7)" sheetId="11" r:id="rId9"/>
    <sheet name="VCS (8)" sheetId="12" r:id="rId10"/>
    <sheet name="VCS (8.1)" sheetId="25" r:id="rId11"/>
    <sheet name="VCS (9)" sheetId="13" r:id="rId12"/>
    <sheet name="VCS (9.1)" sheetId="26" r:id="rId13"/>
    <sheet name="VCS (10)" sheetId="23" r:id="rId14"/>
    <sheet name="VCS (10.1)" sheetId="27" r:id="rId15"/>
    <sheet name="VCS (11)" sheetId="14" r:id="rId16"/>
    <sheet name="VCS (12)" sheetId="15" r:id="rId17"/>
    <sheet name="VCS (13)" sheetId="16" r:id="rId18"/>
    <sheet name="VCS (14)" sheetId="17" r:id="rId19"/>
    <sheet name="VCS (15)" sheetId="18" r:id="rId20"/>
    <sheet name="VCS (16)" sheetId="19" r:id="rId21"/>
    <sheet name="VCS (16.1)" sheetId="28" r:id="rId22"/>
    <sheet name="VCS (17)" sheetId="20" r:id="rId23"/>
    <sheet name="VCS (18)" sheetId="21" r:id="rId24"/>
    <sheet name="VCS (19)" sheetId="22" r:id="rId25"/>
  </sheets>
  <definedNames>
    <definedName name="_xlnm.Print_Area" localSheetId="0">NEED!$A$1:$J$52</definedName>
    <definedName name="_xlnm.Print_Area" localSheetId="1">'VCS (1)'!$A$1:$J$63</definedName>
    <definedName name="_xlnm.Print_Area" localSheetId="13">'VCS (10)'!$A$1:$J$63</definedName>
    <definedName name="_xlnm.Print_Area" localSheetId="14">'VCS (10.1)'!$A$1:$J$63</definedName>
    <definedName name="_xlnm.Print_Area" localSheetId="15">'VCS (11)'!$A$1:$J$63</definedName>
    <definedName name="_xlnm.Print_Area" localSheetId="16">'VCS (12)'!$A$1:$J$63</definedName>
    <definedName name="_xlnm.Print_Area" localSheetId="17">'VCS (13)'!$A$1:$J$63</definedName>
    <definedName name="_xlnm.Print_Area" localSheetId="18">'VCS (14)'!$A$1:$J$63</definedName>
    <definedName name="_xlnm.Print_Area" localSheetId="19">'VCS (15)'!$A$1:$J$63</definedName>
    <definedName name="_xlnm.Print_Area" localSheetId="20">'VCS (16)'!$A$1:$J$63</definedName>
    <definedName name="_xlnm.Print_Area" localSheetId="21">'VCS (16.1)'!$A$1:$J$63</definedName>
    <definedName name="_xlnm.Print_Area" localSheetId="22">'VCS (17)'!$A$1:$J$63</definedName>
    <definedName name="_xlnm.Print_Area" localSheetId="23">'VCS (18)'!$A$1:$J$63</definedName>
    <definedName name="_xlnm.Print_Area" localSheetId="24">'VCS (19)'!$A$1:$J$63</definedName>
    <definedName name="_xlnm.Print_Area" localSheetId="2">'VCS (2)'!$A$1:$J$63</definedName>
    <definedName name="_xlnm.Print_Area" localSheetId="3">'VCS (3)'!$A$1:$J$63</definedName>
    <definedName name="_xlnm.Print_Area" localSheetId="4">'VCS (4)'!$A$1:$J$63</definedName>
    <definedName name="_xlnm.Print_Area" localSheetId="5">'VCS (4.1)'!$A$1:$J$63</definedName>
    <definedName name="_xlnm.Print_Area" localSheetId="6">'VCS (5)'!$A$1:$J$63</definedName>
    <definedName name="_xlnm.Print_Area" localSheetId="7">'VCS (6)'!$A$1:$J$63</definedName>
    <definedName name="_xlnm.Print_Area" localSheetId="8">'VCS (7)'!$A$1:$J$63</definedName>
    <definedName name="_xlnm.Print_Area" localSheetId="9">'VCS (8)'!$A$1:$J$63</definedName>
    <definedName name="_xlnm.Print_Area" localSheetId="10">'VCS (8.1)'!$A$1:$J$63</definedName>
    <definedName name="_xlnm.Print_Area" localSheetId="11">'VCS (9)'!$A$1:$J$63</definedName>
    <definedName name="_xlnm.Print_Area" localSheetId="12">'VCS (9.1)'!$A$1:$J$63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22" l="1"/>
  <c r="D46" i="20"/>
  <c r="D46" i="28"/>
  <c r="D46" i="19"/>
  <c r="D46" i="18"/>
  <c r="F44" i="17"/>
  <c r="D46" i="17"/>
  <c r="D46" i="16"/>
  <c r="D46" i="15"/>
  <c r="D46" i="27"/>
  <c r="D46" i="23"/>
  <c r="D46" i="26"/>
  <c r="D46" i="13"/>
  <c r="F24" i="14"/>
  <c r="F23" i="14"/>
  <c r="F19" i="11"/>
  <c r="F22" i="10"/>
  <c r="L18" i="22"/>
  <c r="K19" i="22"/>
  <c r="K20" i="22"/>
  <c r="K21" i="22"/>
  <c r="K22" i="22"/>
  <c r="K18" i="22"/>
  <c r="L18" i="21"/>
  <c r="L20" i="21"/>
  <c r="L21" i="21"/>
  <c r="L22" i="21"/>
  <c r="L23" i="21"/>
  <c r="L25" i="21"/>
  <c r="L26" i="21"/>
  <c r="K19" i="21"/>
  <c r="K20" i="21"/>
  <c r="K21" i="21"/>
  <c r="K22" i="21"/>
  <c r="K23" i="21"/>
  <c r="K25" i="21"/>
  <c r="K26" i="21"/>
  <c r="K18" i="21"/>
  <c r="L18" i="20"/>
  <c r="L20" i="20"/>
  <c r="K20" i="20"/>
  <c r="K18" i="20"/>
  <c r="L18" i="28"/>
  <c r="L19" i="28"/>
  <c r="L20" i="28"/>
  <c r="L21" i="28"/>
  <c r="L22" i="28"/>
  <c r="L23" i="28"/>
  <c r="K19" i="28"/>
  <c r="K20" i="28"/>
  <c r="K21" i="28"/>
  <c r="K22" i="28"/>
  <c r="K23" i="28"/>
  <c r="K24" i="28"/>
  <c r="K18" i="28"/>
  <c r="L18" i="19"/>
  <c r="L21" i="19"/>
  <c r="L22" i="19"/>
  <c r="L23" i="19"/>
  <c r="L24" i="19"/>
  <c r="L25" i="19"/>
  <c r="L26" i="19"/>
  <c r="L27" i="19"/>
  <c r="L29" i="19"/>
  <c r="L32" i="19"/>
  <c r="L34" i="19"/>
  <c r="L36" i="19"/>
  <c r="L37" i="19"/>
  <c r="L40" i="19"/>
  <c r="L43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18" i="19"/>
  <c r="L18" i="18"/>
  <c r="L19" i="18"/>
  <c r="L20" i="18"/>
  <c r="L21" i="18"/>
  <c r="L23" i="18"/>
  <c r="L27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18" i="18"/>
  <c r="L18" i="17"/>
  <c r="L19" i="17"/>
  <c r="L21" i="17"/>
  <c r="L22" i="17"/>
  <c r="L23" i="17"/>
  <c r="L26" i="17"/>
  <c r="L27" i="17"/>
  <c r="L28" i="17"/>
  <c r="L29" i="17"/>
  <c r="L30" i="17"/>
  <c r="L32" i="17"/>
  <c r="L34" i="17"/>
  <c r="L35" i="17"/>
  <c r="L36" i="17"/>
  <c r="L3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18" i="17"/>
  <c r="L18" i="16"/>
  <c r="K19" i="16"/>
  <c r="K20" i="16"/>
  <c r="K21" i="16"/>
  <c r="K18" i="16"/>
  <c r="L18" i="15"/>
  <c r="L20" i="15"/>
  <c r="L21" i="15"/>
  <c r="L27" i="15"/>
  <c r="L28" i="15"/>
  <c r="L29" i="15"/>
  <c r="L30" i="15"/>
  <c r="L31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18" i="15"/>
  <c r="L18" i="14"/>
  <c r="L19" i="14"/>
  <c r="L23" i="14"/>
  <c r="L25" i="14"/>
  <c r="L26" i="14"/>
  <c r="K19" i="14"/>
  <c r="K20" i="14"/>
  <c r="K21" i="14"/>
  <c r="K22" i="14"/>
  <c r="K23" i="14"/>
  <c r="K24" i="14"/>
  <c r="K25" i="14"/>
  <c r="K26" i="14"/>
  <c r="K18" i="14"/>
  <c r="L19" i="27"/>
  <c r="L22" i="27"/>
  <c r="K19" i="27"/>
  <c r="K20" i="27"/>
  <c r="K21" i="27"/>
  <c r="K22" i="27"/>
  <c r="K18" i="27"/>
  <c r="L18" i="23"/>
  <c r="L19" i="23"/>
  <c r="L21" i="23"/>
  <c r="L22" i="23"/>
  <c r="L23" i="23"/>
  <c r="L25" i="23"/>
  <c r="L26" i="23"/>
  <c r="L27" i="23"/>
  <c r="L30" i="23"/>
  <c r="L33" i="23"/>
  <c r="L36" i="23"/>
  <c r="L37" i="23"/>
  <c r="L38" i="23"/>
  <c r="L39" i="23"/>
  <c r="L41" i="23"/>
  <c r="L42" i="23"/>
  <c r="L43" i="23"/>
  <c r="K19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18" i="23"/>
  <c r="L19" i="26"/>
  <c r="L20" i="26"/>
  <c r="L21" i="26"/>
  <c r="L22" i="26"/>
  <c r="L24" i="26"/>
  <c r="L25" i="26"/>
  <c r="L26" i="26"/>
  <c r="L27" i="26"/>
  <c r="L28" i="26"/>
  <c r="L29" i="26"/>
  <c r="L31" i="26"/>
  <c r="L32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18" i="26"/>
  <c r="L18" i="13"/>
  <c r="L19" i="13"/>
  <c r="L20" i="13"/>
  <c r="L22" i="13"/>
  <c r="L23" i="13"/>
  <c r="L25" i="13"/>
  <c r="L26" i="13"/>
  <c r="L27" i="13"/>
  <c r="L28" i="13"/>
  <c r="L35" i="13"/>
  <c r="L37" i="13"/>
  <c r="L38" i="13"/>
  <c r="L40" i="13"/>
  <c r="L42" i="13"/>
  <c r="L43" i="13"/>
  <c r="K19" i="13"/>
  <c r="K20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18" i="13"/>
  <c r="L18" i="25"/>
  <c r="L21" i="25"/>
  <c r="L23" i="25"/>
  <c r="L27" i="25"/>
  <c r="K19" i="25"/>
  <c r="K20" i="25"/>
  <c r="K21" i="25"/>
  <c r="K22" i="25"/>
  <c r="K23" i="25"/>
  <c r="K24" i="25"/>
  <c r="K25" i="25"/>
  <c r="K26" i="25"/>
  <c r="K27" i="25"/>
  <c r="K18" i="25"/>
  <c r="L18" i="12"/>
  <c r="L19" i="12"/>
  <c r="L20" i="12"/>
  <c r="L21" i="12"/>
  <c r="L24" i="12"/>
  <c r="L25" i="12"/>
  <c r="L27" i="12"/>
  <c r="L28" i="12"/>
  <c r="L29" i="12"/>
  <c r="L30" i="12"/>
  <c r="L31" i="12"/>
  <c r="L32" i="12"/>
  <c r="L33" i="12"/>
  <c r="L34" i="12"/>
  <c r="L36" i="12"/>
  <c r="L37" i="12"/>
  <c r="L38" i="12"/>
  <c r="L43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18" i="12"/>
  <c r="L18" i="11"/>
  <c r="L27" i="11"/>
  <c r="K19" i="11"/>
  <c r="K20" i="11"/>
  <c r="K21" i="11"/>
  <c r="K22" i="11"/>
  <c r="K23" i="11"/>
  <c r="K24" i="11"/>
  <c r="K25" i="11"/>
  <c r="K26" i="11"/>
  <c r="K27" i="11"/>
  <c r="K18" i="11"/>
  <c r="L18" i="10"/>
  <c r="L19" i="10"/>
  <c r="K19" i="10"/>
  <c r="K20" i="10"/>
  <c r="K21" i="10"/>
  <c r="K23" i="10"/>
  <c r="K24" i="10"/>
  <c r="K18" i="10"/>
  <c r="L18" i="9"/>
  <c r="L20" i="9"/>
  <c r="L21" i="9"/>
  <c r="L22" i="9"/>
  <c r="L25" i="9"/>
  <c r="L26" i="9"/>
  <c r="L27" i="9"/>
  <c r="K19" i="9"/>
  <c r="K20" i="9"/>
  <c r="K21" i="9"/>
  <c r="K22" i="9"/>
  <c r="K23" i="9"/>
  <c r="K24" i="9"/>
  <c r="K25" i="9"/>
  <c r="K26" i="9"/>
  <c r="K27" i="9"/>
  <c r="K18" i="9"/>
  <c r="L18" i="24"/>
  <c r="L20" i="24"/>
  <c r="L21" i="24"/>
  <c r="L26" i="24"/>
  <c r="L35" i="24"/>
  <c r="L40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18" i="24"/>
  <c r="L18" i="8" l="1"/>
  <c r="L19" i="8"/>
  <c r="L23" i="8"/>
  <c r="L24" i="8"/>
  <c r="L26" i="8"/>
  <c r="L28" i="8"/>
  <c r="L32" i="8"/>
  <c r="L38" i="8"/>
  <c r="L39" i="8"/>
  <c r="L40" i="8"/>
  <c r="L41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18" i="8"/>
  <c r="L18" i="7"/>
  <c r="L19" i="7"/>
  <c r="L24" i="7"/>
  <c r="L25" i="7"/>
  <c r="L26" i="7"/>
  <c r="L27" i="7"/>
  <c r="L28" i="7"/>
  <c r="K19" i="7"/>
  <c r="K20" i="7"/>
  <c r="K21" i="7"/>
  <c r="K22" i="7"/>
  <c r="K24" i="7"/>
  <c r="K25" i="7"/>
  <c r="K26" i="7"/>
  <c r="K27" i="7"/>
  <c r="K28" i="7"/>
  <c r="K18" i="7"/>
  <c r="L18" i="6"/>
  <c r="L19" i="6"/>
  <c r="K19" i="6"/>
  <c r="K20" i="6"/>
  <c r="K21" i="6"/>
  <c r="K22" i="6"/>
  <c r="K23" i="6"/>
  <c r="K24" i="6"/>
  <c r="K25" i="6"/>
  <c r="K26" i="6"/>
  <c r="K18" i="6"/>
  <c r="L18" i="5"/>
  <c r="L19" i="5"/>
  <c r="L21" i="5"/>
  <c r="L22" i="5"/>
  <c r="L23" i="5"/>
  <c r="L27" i="5"/>
  <c r="L28" i="5"/>
  <c r="L29" i="5"/>
  <c r="L33" i="5"/>
  <c r="L34" i="5"/>
  <c r="L35" i="5"/>
  <c r="L36" i="5"/>
  <c r="L37" i="5"/>
  <c r="L38" i="5"/>
  <c r="L39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18" i="5"/>
  <c r="D18" i="22"/>
  <c r="D26" i="21"/>
  <c r="D23" i="21"/>
  <c r="D22" i="21"/>
  <c r="D21" i="21"/>
  <c r="D25" i="21"/>
  <c r="D18" i="21"/>
  <c r="D20" i="20"/>
  <c r="D18" i="20"/>
  <c r="D22" i="28"/>
  <c r="F22" i="28" s="1"/>
  <c r="J46" i="28" s="1"/>
  <c r="D20" i="28"/>
  <c r="F20" i="28" s="1"/>
  <c r="D19" i="28"/>
  <c r="F19" i="28" s="1"/>
  <c r="D18" i="28"/>
  <c r="F18" i="28" s="1"/>
  <c r="F49" i="28"/>
  <c r="C49" i="28"/>
  <c r="F48" i="28"/>
  <c r="J47" i="28"/>
  <c r="H47" i="28"/>
  <c r="H46" i="28"/>
  <c r="F46" i="28"/>
  <c r="J45" i="28"/>
  <c r="D45" i="28"/>
  <c r="D49" i="28" s="1"/>
  <c r="J44" i="28"/>
  <c r="H44" i="28"/>
  <c r="F44" i="28"/>
  <c r="F45" i="28"/>
  <c r="H45" i="28"/>
  <c r="F24" i="28"/>
  <c r="F21" i="28"/>
  <c r="F23" i="28"/>
  <c r="F47" i="28" s="1"/>
  <c r="D43" i="19"/>
  <c r="D40" i="19"/>
  <c r="D36" i="19"/>
  <c r="D34" i="19"/>
  <c r="D32" i="19"/>
  <c r="D29" i="19"/>
  <c r="D27" i="19"/>
  <c r="D25" i="19"/>
  <c r="D24" i="19"/>
  <c r="D21" i="19"/>
  <c r="D18" i="19"/>
  <c r="D27" i="18"/>
  <c r="D20" i="18"/>
  <c r="D19" i="18"/>
  <c r="D18" i="18"/>
  <c r="F37" i="17"/>
  <c r="D23" i="17"/>
  <c r="F23" i="17" s="1"/>
  <c r="F19" i="17"/>
  <c r="D36" i="17"/>
  <c r="D38" i="17"/>
  <c r="D35" i="17"/>
  <c r="D34" i="17"/>
  <c r="F31" i="17"/>
  <c r="D30" i="17"/>
  <c r="D28" i="17"/>
  <c r="D26" i="17"/>
  <c r="D29" i="17"/>
  <c r="D27" i="17"/>
  <c r="F25" i="17"/>
  <c r="D22" i="17"/>
  <c r="D21" i="17"/>
  <c r="D18" i="17"/>
  <c r="D18" i="16"/>
  <c r="D30" i="15"/>
  <c r="F30" i="15" s="1"/>
  <c r="D31" i="15"/>
  <c r="D29" i="15"/>
  <c r="D28" i="15"/>
  <c r="D21" i="15"/>
  <c r="D20" i="15"/>
  <c r="F35" i="15"/>
  <c r="F34" i="15"/>
  <c r="F33" i="15"/>
  <c r="F32" i="15"/>
  <c r="D27" i="15"/>
  <c r="F26" i="15"/>
  <c r="F23" i="15"/>
  <c r="D18" i="15"/>
  <c r="D27" i="14"/>
  <c r="D25" i="14"/>
  <c r="D19" i="14"/>
  <c r="D18" i="14"/>
  <c r="D22" i="27"/>
  <c r="F22" i="27" s="1"/>
  <c r="D19" i="27"/>
  <c r="F19" i="27" s="1"/>
  <c r="F20" i="27"/>
  <c r="F49" i="27"/>
  <c r="C49" i="27"/>
  <c r="F48" i="27"/>
  <c r="J47" i="27"/>
  <c r="H47" i="27"/>
  <c r="J46" i="27"/>
  <c r="H46" i="27"/>
  <c r="F46" i="27"/>
  <c r="D45" i="27"/>
  <c r="D49" i="27" s="1"/>
  <c r="J44" i="27"/>
  <c r="H44" i="27"/>
  <c r="F47" i="27"/>
  <c r="J45" i="27"/>
  <c r="H45" i="27"/>
  <c r="F44" i="27"/>
  <c r="F45" i="27"/>
  <c r="F18" i="27"/>
  <c r="O9" i="27"/>
  <c r="D42" i="23"/>
  <c r="D39" i="23"/>
  <c r="D38" i="23"/>
  <c r="D37" i="23"/>
  <c r="D36" i="23"/>
  <c r="F34" i="23"/>
  <c r="D30" i="23"/>
  <c r="D27" i="23"/>
  <c r="D25" i="23"/>
  <c r="D23" i="23"/>
  <c r="D20" i="23"/>
  <c r="D19" i="23"/>
  <c r="D18" i="23"/>
  <c r="D26" i="26"/>
  <c r="F26" i="26" s="1"/>
  <c r="F18" i="26"/>
  <c r="F30" i="13"/>
  <c r="D19" i="26"/>
  <c r="F19" i="26" s="1"/>
  <c r="D20" i="13"/>
  <c r="F20" i="13" s="1"/>
  <c r="D32" i="26"/>
  <c r="D31" i="26"/>
  <c r="F31" i="26" s="1"/>
  <c r="F46" i="26" s="1"/>
  <c r="D29" i="26"/>
  <c r="F29" i="26" s="1"/>
  <c r="D28" i="26"/>
  <c r="F28" i="26" s="1"/>
  <c r="D27" i="26"/>
  <c r="F27" i="26" s="1"/>
  <c r="D25" i="26"/>
  <c r="F25" i="26" s="1"/>
  <c r="D24" i="26"/>
  <c r="F24" i="26" s="1"/>
  <c r="D22" i="26"/>
  <c r="F22" i="26" s="1"/>
  <c r="D21" i="26"/>
  <c r="F21" i="26" s="1"/>
  <c r="D20" i="26"/>
  <c r="F20" i="26" s="1"/>
  <c r="C49" i="26"/>
  <c r="H46" i="26"/>
  <c r="D45" i="26"/>
  <c r="D49" i="26" s="1"/>
  <c r="H44" i="26"/>
  <c r="F34" i="26"/>
  <c r="F33" i="26"/>
  <c r="F32" i="26"/>
  <c r="F30" i="26"/>
  <c r="F23" i="26"/>
  <c r="O8" i="26"/>
  <c r="D42" i="13"/>
  <c r="D40" i="13"/>
  <c r="D38" i="13"/>
  <c r="D37" i="13"/>
  <c r="D35" i="13"/>
  <c r="F32" i="13"/>
  <c r="D26" i="13"/>
  <c r="D19" i="13"/>
  <c r="D18" i="13"/>
  <c r="D46" i="25"/>
  <c r="D46" i="12"/>
  <c r="F49" i="25"/>
  <c r="C49" i="25"/>
  <c r="F48" i="25"/>
  <c r="J47" i="25"/>
  <c r="H47" i="25"/>
  <c r="F47" i="25"/>
  <c r="J46" i="25"/>
  <c r="H46" i="25"/>
  <c r="F46" i="25"/>
  <c r="J45" i="25"/>
  <c r="H45" i="25"/>
  <c r="D45" i="25"/>
  <c r="J44" i="25"/>
  <c r="H44" i="25"/>
  <c r="F44" i="25"/>
  <c r="F26" i="25"/>
  <c r="F25" i="25"/>
  <c r="F24" i="25"/>
  <c r="F23" i="25"/>
  <c r="F22" i="25"/>
  <c r="D21" i="25"/>
  <c r="F21" i="25" s="1"/>
  <c r="F20" i="25"/>
  <c r="F19" i="25"/>
  <c r="D18" i="25"/>
  <c r="F18" i="25" s="1"/>
  <c r="F45" i="25" s="1"/>
  <c r="F41" i="12"/>
  <c r="F35" i="12"/>
  <c r="F32" i="12"/>
  <c r="D30" i="12"/>
  <c r="F30" i="12" s="1"/>
  <c r="D29" i="12"/>
  <c r="F29" i="12" s="1"/>
  <c r="D25" i="12"/>
  <c r="F25" i="12" s="1"/>
  <c r="D27" i="25"/>
  <c r="F27" i="25" s="1"/>
  <c r="O9" i="25"/>
  <c r="D37" i="12"/>
  <c r="D34" i="12"/>
  <c r="D31" i="12"/>
  <c r="D28" i="12"/>
  <c r="D27" i="12"/>
  <c r="F26" i="12"/>
  <c r="D24" i="12"/>
  <c r="D21" i="12"/>
  <c r="D20" i="12"/>
  <c r="D19" i="12"/>
  <c r="D38" i="12"/>
  <c r="D33" i="12"/>
  <c r="D18" i="12"/>
  <c r="F26" i="11"/>
  <c r="F22" i="11"/>
  <c r="F23" i="11"/>
  <c r="D46" i="11"/>
  <c r="F21" i="11"/>
  <c r="F27" i="11"/>
  <c r="D18" i="11"/>
  <c r="D46" i="10"/>
  <c r="F25" i="10"/>
  <c r="F21" i="10"/>
  <c r="D19" i="10"/>
  <c r="D18" i="10"/>
  <c r="D27" i="9"/>
  <c r="D22" i="9"/>
  <c r="D18" i="9"/>
  <c r="J46" i="26" l="1"/>
  <c r="H47" i="26"/>
  <c r="J47" i="26"/>
  <c r="F48" i="26"/>
  <c r="J44" i="26"/>
  <c r="F49" i="26"/>
  <c r="J45" i="26"/>
  <c r="H45" i="26"/>
  <c r="F47" i="26"/>
  <c r="F44" i="26"/>
  <c r="F45" i="26"/>
  <c r="D49" i="25"/>
  <c r="F29" i="24"/>
  <c r="F28" i="24"/>
  <c r="F27" i="24"/>
  <c r="F26" i="24"/>
  <c r="F25" i="24"/>
  <c r="F24" i="24"/>
  <c r="F23" i="24"/>
  <c r="F22" i="24"/>
  <c r="F21" i="24"/>
  <c r="F20" i="24"/>
  <c r="F19" i="24"/>
  <c r="F18" i="24"/>
  <c r="F29" i="8"/>
  <c r="D26" i="8"/>
  <c r="F26" i="8" s="1"/>
  <c r="F37" i="24"/>
  <c r="F34" i="24"/>
  <c r="F43" i="8"/>
  <c r="F37" i="8"/>
  <c r="F31" i="8"/>
  <c r="F27" i="8"/>
  <c r="F21" i="8"/>
  <c r="D40" i="24"/>
  <c r="F40" i="24" s="1"/>
  <c r="D35" i="24"/>
  <c r="F35" i="24" s="1"/>
  <c r="F49" i="24"/>
  <c r="C49" i="24"/>
  <c r="F48" i="24"/>
  <c r="J47" i="24"/>
  <c r="H47" i="24"/>
  <c r="J46" i="24"/>
  <c r="F46" i="24"/>
  <c r="D46" i="24"/>
  <c r="J45" i="24"/>
  <c r="D45" i="24"/>
  <c r="D49" i="24" s="1"/>
  <c r="J44" i="24"/>
  <c r="H44" i="24"/>
  <c r="F44" i="24"/>
  <c r="F31" i="24"/>
  <c r="F41" i="24"/>
  <c r="F39" i="24"/>
  <c r="F38" i="24"/>
  <c r="F36" i="24"/>
  <c r="F33" i="24"/>
  <c r="F32" i="24"/>
  <c r="F30" i="24"/>
  <c r="D39" i="8"/>
  <c r="D46" i="8"/>
  <c r="D38" i="8"/>
  <c r="F36" i="8"/>
  <c r="D24" i="8"/>
  <c r="D23" i="8"/>
  <c r="D18" i="8"/>
  <c r="D46" i="7"/>
  <c r="D28" i="7"/>
  <c r="D27" i="7"/>
  <c r="D26" i="7"/>
  <c r="D25" i="7"/>
  <c r="D24" i="7"/>
  <c r="D18" i="7"/>
  <c r="D19" i="7"/>
  <c r="D46" i="6"/>
  <c r="F26" i="6"/>
  <c r="F25" i="6"/>
  <c r="F24" i="6"/>
  <c r="F23" i="6"/>
  <c r="D18" i="6"/>
  <c r="F39" i="5"/>
  <c r="F35" i="5"/>
  <c r="F25" i="5"/>
  <c r="D27" i="5"/>
  <c r="D46" i="5"/>
  <c r="D36" i="5"/>
  <c r="D34" i="5"/>
  <c r="D33" i="5"/>
  <c r="D28" i="5"/>
  <c r="H46" i="24" l="1"/>
  <c r="H45" i="24"/>
  <c r="F45" i="24"/>
  <c r="F47" i="24"/>
  <c r="D23" i="5"/>
  <c r="F23" i="5" s="1"/>
  <c r="D22" i="5"/>
  <c r="F22" i="5" s="1"/>
  <c r="F47" i="5" s="1"/>
  <c r="D21" i="5"/>
  <c r="F21" i="5" s="1"/>
  <c r="F49" i="5" s="1"/>
  <c r="D18" i="5"/>
  <c r="F18" i="5" s="1"/>
  <c r="O8" i="22"/>
  <c r="O9" i="23"/>
  <c r="F49" i="23"/>
  <c r="C49" i="23"/>
  <c r="F48" i="23"/>
  <c r="J47" i="23"/>
  <c r="H47" i="23"/>
  <c r="J46" i="23"/>
  <c r="H46" i="23"/>
  <c r="F46" i="23"/>
  <c r="D45" i="23"/>
  <c r="D49" i="23" s="1"/>
  <c r="J44" i="23"/>
  <c r="H44" i="23"/>
  <c r="F43" i="23"/>
  <c r="F42" i="23"/>
  <c r="F41" i="23"/>
  <c r="F40" i="23"/>
  <c r="F39" i="23"/>
  <c r="F38" i="23"/>
  <c r="F37" i="23"/>
  <c r="F36" i="23"/>
  <c r="F35" i="23"/>
  <c r="F33" i="23"/>
  <c r="F32" i="23"/>
  <c r="F31" i="23"/>
  <c r="F30" i="23"/>
  <c r="F29" i="23"/>
  <c r="F28" i="23"/>
  <c r="J45" i="23" s="1"/>
  <c r="F27" i="23"/>
  <c r="F44" i="23" s="1"/>
  <c r="F26" i="23"/>
  <c r="H45" i="23" s="1"/>
  <c r="F25" i="23"/>
  <c r="F24" i="23"/>
  <c r="F23" i="23"/>
  <c r="F22" i="23"/>
  <c r="F20" i="23"/>
  <c r="F45" i="23" s="1"/>
  <c r="F19" i="23"/>
  <c r="F18" i="23"/>
  <c r="O8" i="13"/>
  <c r="O9" i="12"/>
  <c r="F49" i="22"/>
  <c r="C49" i="22"/>
  <c r="F48" i="22"/>
  <c r="J47" i="22"/>
  <c r="H47" i="22"/>
  <c r="F47" i="22"/>
  <c r="J46" i="22"/>
  <c r="H46" i="22"/>
  <c r="F46" i="22"/>
  <c r="J45" i="22"/>
  <c r="H45" i="22"/>
  <c r="F45" i="22"/>
  <c r="D45" i="22"/>
  <c r="D49" i="22" s="1"/>
  <c r="J44" i="22"/>
  <c r="H44" i="22"/>
  <c r="F44" i="22"/>
  <c r="F21" i="22"/>
  <c r="F22" i="22"/>
  <c r="F20" i="22"/>
  <c r="F19" i="22"/>
  <c r="F18" i="22"/>
  <c r="F49" i="21"/>
  <c r="C49" i="21"/>
  <c r="F48" i="21"/>
  <c r="J47" i="21"/>
  <c r="H47" i="21"/>
  <c r="H46" i="21"/>
  <c r="F46" i="21"/>
  <c r="J45" i="21"/>
  <c r="H45" i="21"/>
  <c r="F45" i="21"/>
  <c r="D45" i="21"/>
  <c r="D49" i="21" s="1"/>
  <c r="J44" i="21"/>
  <c r="F44" i="21"/>
  <c r="F23" i="21"/>
  <c r="F22" i="21"/>
  <c r="F21" i="21"/>
  <c r="F47" i="21" s="1"/>
  <c r="F20" i="21"/>
  <c r="J46" i="21" s="1"/>
  <c r="F19" i="21"/>
  <c r="F26" i="21"/>
  <c r="H44" i="21" s="1"/>
  <c r="F25" i="21"/>
  <c r="F18" i="21"/>
  <c r="O6" i="9"/>
  <c r="F19" i="5"/>
  <c r="F20" i="5"/>
  <c r="F28" i="5"/>
  <c r="F26" i="5"/>
  <c r="F24" i="5"/>
  <c r="F44" i="16"/>
  <c r="F44" i="6"/>
  <c r="H44" i="12"/>
  <c r="C49" i="12"/>
  <c r="D49" i="8"/>
  <c r="C49" i="8"/>
  <c r="F19" i="7"/>
  <c r="F18" i="8"/>
  <c r="F18" i="10"/>
  <c r="F18" i="11"/>
  <c r="F18" i="12"/>
  <c r="F18" i="13"/>
  <c r="F18" i="14"/>
  <c r="F18" i="15"/>
  <c r="F18" i="16"/>
  <c r="F18" i="17"/>
  <c r="F18" i="18"/>
  <c r="F18" i="19"/>
  <c r="F18" i="20"/>
  <c r="F18" i="6"/>
  <c r="F27" i="5"/>
  <c r="F38" i="5"/>
  <c r="F37" i="5"/>
  <c r="F36" i="5"/>
  <c r="F34" i="5"/>
  <c r="F33" i="5"/>
  <c r="F32" i="5"/>
  <c r="F31" i="5"/>
  <c r="H47" i="5" s="1"/>
  <c r="F30" i="5"/>
  <c r="F29" i="5"/>
  <c r="F49" i="7"/>
  <c r="C49" i="7"/>
  <c r="F48" i="7"/>
  <c r="J47" i="7"/>
  <c r="H47" i="7"/>
  <c r="F47" i="7"/>
  <c r="J46" i="7"/>
  <c r="H46" i="7"/>
  <c r="F46" i="7"/>
  <c r="F45" i="7"/>
  <c r="D45" i="7"/>
  <c r="D49" i="7" s="1"/>
  <c r="J44" i="7"/>
  <c r="H44" i="7"/>
  <c r="F44" i="7"/>
  <c r="F49" i="8"/>
  <c r="F48" i="8"/>
  <c r="J47" i="8"/>
  <c r="H47" i="8"/>
  <c r="F46" i="8"/>
  <c r="J45" i="8"/>
  <c r="D45" i="8"/>
  <c r="J44" i="8"/>
  <c r="H44" i="8"/>
  <c r="F44" i="8"/>
  <c r="F49" i="9"/>
  <c r="C49" i="9"/>
  <c r="F48" i="9"/>
  <c r="J47" i="9"/>
  <c r="H47" i="9"/>
  <c r="F47" i="9"/>
  <c r="J46" i="9"/>
  <c r="H46" i="9"/>
  <c r="D45" i="9"/>
  <c r="D49" i="9" s="1"/>
  <c r="J44" i="9"/>
  <c r="H44" i="9"/>
  <c r="F49" i="10"/>
  <c r="C49" i="10"/>
  <c r="F48" i="10"/>
  <c r="J47" i="10"/>
  <c r="H47" i="10"/>
  <c r="F47" i="10"/>
  <c r="J46" i="10"/>
  <c r="H46" i="10"/>
  <c r="F46" i="10"/>
  <c r="J45" i="10"/>
  <c r="F45" i="10"/>
  <c r="D45" i="10"/>
  <c r="D49" i="10" s="1"/>
  <c r="J44" i="10"/>
  <c r="H44" i="10"/>
  <c r="F44" i="10"/>
  <c r="F49" i="11"/>
  <c r="C49" i="11"/>
  <c r="F48" i="11"/>
  <c r="J47" i="11"/>
  <c r="H47" i="11"/>
  <c r="F47" i="11"/>
  <c r="J46" i="11"/>
  <c r="H46" i="11"/>
  <c r="F46" i="11"/>
  <c r="J45" i="11"/>
  <c r="H45" i="11"/>
  <c r="F45" i="11"/>
  <c r="D45" i="11"/>
  <c r="D49" i="11" s="1"/>
  <c r="J44" i="11"/>
  <c r="H44" i="11"/>
  <c r="F49" i="12"/>
  <c r="F48" i="12"/>
  <c r="J47" i="12"/>
  <c r="H47" i="12"/>
  <c r="H46" i="12"/>
  <c r="F46" i="12"/>
  <c r="J45" i="12"/>
  <c r="H45" i="12"/>
  <c r="D45" i="12"/>
  <c r="D49" i="12" s="1"/>
  <c r="J44" i="12"/>
  <c r="F44" i="12"/>
  <c r="F49" i="13"/>
  <c r="C49" i="13"/>
  <c r="F48" i="13"/>
  <c r="J47" i="13"/>
  <c r="J46" i="13"/>
  <c r="H46" i="13"/>
  <c r="F46" i="13"/>
  <c r="D45" i="13"/>
  <c r="D49" i="13" s="1"/>
  <c r="J44" i="13"/>
  <c r="H44" i="13"/>
  <c r="F44" i="13"/>
  <c r="F49" i="14"/>
  <c r="C49" i="14"/>
  <c r="F48" i="14"/>
  <c r="J47" i="14"/>
  <c r="H47" i="14"/>
  <c r="F47" i="14"/>
  <c r="J46" i="14"/>
  <c r="H46" i="14"/>
  <c r="F46" i="14"/>
  <c r="J45" i="14"/>
  <c r="F45" i="14"/>
  <c r="D45" i="14"/>
  <c r="D49" i="14" s="1"/>
  <c r="J44" i="14"/>
  <c r="H44" i="14"/>
  <c r="F44" i="14"/>
  <c r="F49" i="15"/>
  <c r="C49" i="15"/>
  <c r="F48" i="15"/>
  <c r="J47" i="15"/>
  <c r="H47" i="15"/>
  <c r="F47" i="15"/>
  <c r="J46" i="15"/>
  <c r="H46" i="15"/>
  <c r="F45" i="15"/>
  <c r="D45" i="15"/>
  <c r="D49" i="15" s="1"/>
  <c r="J44" i="15"/>
  <c r="H44" i="15"/>
  <c r="F44" i="15"/>
  <c r="F49" i="16"/>
  <c r="C49" i="16"/>
  <c r="F48" i="16"/>
  <c r="J47" i="16"/>
  <c r="H47" i="16"/>
  <c r="F47" i="16"/>
  <c r="J46" i="16"/>
  <c r="H46" i="16"/>
  <c r="F46" i="16"/>
  <c r="J45" i="16"/>
  <c r="H45" i="16"/>
  <c r="F45" i="16"/>
  <c r="D45" i="16"/>
  <c r="D49" i="16" s="1"/>
  <c r="J44" i="16"/>
  <c r="H44" i="16"/>
  <c r="F49" i="17"/>
  <c r="C49" i="17"/>
  <c r="J47" i="17"/>
  <c r="H47" i="17"/>
  <c r="J46" i="17"/>
  <c r="H46" i="17"/>
  <c r="F46" i="17"/>
  <c r="J45" i="17"/>
  <c r="F45" i="17"/>
  <c r="D45" i="17"/>
  <c r="D49" i="17" s="1"/>
  <c r="J44" i="17"/>
  <c r="H44" i="17"/>
  <c r="F49" i="18"/>
  <c r="C49" i="18"/>
  <c r="F48" i="18"/>
  <c r="J47" i="18"/>
  <c r="H47" i="18"/>
  <c r="F47" i="18"/>
  <c r="J46" i="18"/>
  <c r="H46" i="18"/>
  <c r="F46" i="18"/>
  <c r="J45" i="18"/>
  <c r="D45" i="18"/>
  <c r="D49" i="18" s="1"/>
  <c r="J44" i="18"/>
  <c r="H44" i="18"/>
  <c r="F44" i="18"/>
  <c r="F49" i="19"/>
  <c r="C49" i="19"/>
  <c r="F48" i="19"/>
  <c r="J47" i="19"/>
  <c r="H47" i="19"/>
  <c r="J46" i="19"/>
  <c r="F46" i="19"/>
  <c r="J45" i="19"/>
  <c r="D45" i="19"/>
  <c r="D49" i="19" s="1"/>
  <c r="J44" i="19"/>
  <c r="H44" i="19"/>
  <c r="F49" i="20"/>
  <c r="C49" i="20"/>
  <c r="F48" i="20"/>
  <c r="J47" i="20"/>
  <c r="H47" i="20"/>
  <c r="F47" i="20"/>
  <c r="J46" i="20"/>
  <c r="H46" i="20"/>
  <c r="F46" i="20"/>
  <c r="J45" i="20"/>
  <c r="H45" i="20"/>
  <c r="F45" i="20"/>
  <c r="D45" i="20"/>
  <c r="D49" i="20" s="1"/>
  <c r="J44" i="20"/>
  <c r="H44" i="20"/>
  <c r="F44" i="20"/>
  <c r="F49" i="6"/>
  <c r="C49" i="6"/>
  <c r="J47" i="6"/>
  <c r="H47" i="6"/>
  <c r="F47" i="6"/>
  <c r="J46" i="6"/>
  <c r="H46" i="6"/>
  <c r="F46" i="6"/>
  <c r="J45" i="6"/>
  <c r="H45" i="6"/>
  <c r="F45" i="6"/>
  <c r="D45" i="6"/>
  <c r="D49" i="6" s="1"/>
  <c r="J44" i="6"/>
  <c r="H44" i="6"/>
  <c r="F20" i="20"/>
  <c r="F43" i="19"/>
  <c r="F42" i="19"/>
  <c r="F41" i="19"/>
  <c r="F40" i="19"/>
  <c r="F39" i="19"/>
  <c r="F38" i="19"/>
  <c r="F36" i="19"/>
  <c r="F45" i="19" s="1"/>
  <c r="F37" i="19"/>
  <c r="F34" i="19"/>
  <c r="F33" i="19"/>
  <c r="F32" i="19"/>
  <c r="F31" i="19"/>
  <c r="F30" i="19"/>
  <c r="F35" i="19"/>
  <c r="F29" i="19"/>
  <c r="F44" i="19" s="1"/>
  <c r="F28" i="19"/>
  <c r="H45" i="19" s="1"/>
  <c r="F27" i="19"/>
  <c r="F26" i="19"/>
  <c r="F25" i="19"/>
  <c r="F23" i="19"/>
  <c r="F22" i="19"/>
  <c r="F21" i="19"/>
  <c r="F47" i="19" s="1"/>
  <c r="F20" i="19"/>
  <c r="F19" i="19"/>
  <c r="H46" i="19" s="1"/>
  <c r="F24" i="19"/>
  <c r="F28" i="18"/>
  <c r="F45" i="18" s="1"/>
  <c r="F26" i="18"/>
  <c r="F22" i="18"/>
  <c r="H45" i="18" s="1"/>
  <c r="F30" i="18"/>
  <c r="F29" i="18"/>
  <c r="F27" i="18"/>
  <c r="F25" i="18"/>
  <c r="F24" i="18"/>
  <c r="F23" i="18"/>
  <c r="F21" i="18"/>
  <c r="F20" i="18"/>
  <c r="F19" i="18"/>
  <c r="F36" i="17"/>
  <c r="F39" i="17"/>
  <c r="F38" i="17"/>
  <c r="F35" i="17"/>
  <c r="F47" i="17" s="1"/>
  <c r="F34" i="17"/>
  <c r="F32" i="17"/>
  <c r="F30" i="17"/>
  <c r="F28" i="17"/>
  <c r="F26" i="17"/>
  <c r="F33" i="17"/>
  <c r="F29" i="17"/>
  <c r="F27" i="17"/>
  <c r="F24" i="17"/>
  <c r="F22" i="17"/>
  <c r="F21" i="17"/>
  <c r="F20" i="17"/>
  <c r="F19" i="16"/>
  <c r="F21" i="16"/>
  <c r="F20" i="16"/>
  <c r="F31" i="15"/>
  <c r="F29" i="15"/>
  <c r="F28" i="15"/>
  <c r="F20" i="15"/>
  <c r="H45" i="15" s="1"/>
  <c r="F21" i="15"/>
  <c r="F27" i="15"/>
  <c r="F46" i="15" s="1"/>
  <c r="F25" i="15"/>
  <c r="F24" i="15"/>
  <c r="F22" i="15"/>
  <c r="F19" i="15"/>
  <c r="F28" i="14"/>
  <c r="F27" i="14"/>
  <c r="F26" i="14"/>
  <c r="F25" i="14"/>
  <c r="F22" i="14"/>
  <c r="F21" i="14"/>
  <c r="F20" i="14"/>
  <c r="F19" i="14"/>
  <c r="F43" i="13"/>
  <c r="F42" i="13"/>
  <c r="F41" i="13"/>
  <c r="F40" i="13"/>
  <c r="F39" i="13"/>
  <c r="F38" i="13"/>
  <c r="F37" i="13"/>
  <c r="H47" i="13"/>
  <c r="F35" i="13"/>
  <c r="F34" i="13"/>
  <c r="F47" i="13" s="1"/>
  <c r="F33" i="13"/>
  <c r="F31" i="13"/>
  <c r="F36" i="13"/>
  <c r="F29" i="13"/>
  <c r="F27" i="13"/>
  <c r="F26" i="13"/>
  <c r="F25" i="13"/>
  <c r="F24" i="13"/>
  <c r="F23" i="13"/>
  <c r="F28" i="13"/>
  <c r="F22" i="13"/>
  <c r="F19" i="13"/>
  <c r="F43" i="12"/>
  <c r="F42" i="12"/>
  <c r="F40" i="12"/>
  <c r="F39" i="12"/>
  <c r="F37" i="12"/>
  <c r="F34" i="12"/>
  <c r="F36" i="12"/>
  <c r="F28" i="12"/>
  <c r="F27" i="12"/>
  <c r="F31" i="12"/>
  <c r="F24" i="12"/>
  <c r="F23" i="12"/>
  <c r="F22" i="12"/>
  <c r="F21" i="12"/>
  <c r="J46" i="12" s="1"/>
  <c r="F20" i="12"/>
  <c r="F47" i="12" s="1"/>
  <c r="F19" i="12"/>
  <c r="F38" i="12"/>
  <c r="F33" i="12"/>
  <c r="F28" i="11"/>
  <c r="F44" i="11" s="1"/>
  <c r="F25" i="11"/>
  <c r="F24" i="11"/>
  <c r="F20" i="11"/>
  <c r="F20" i="10"/>
  <c r="H45" i="10" s="1"/>
  <c r="F24" i="10"/>
  <c r="F19" i="10"/>
  <c r="F23" i="9"/>
  <c r="J45" i="9" s="1"/>
  <c r="F27" i="9"/>
  <c r="F26" i="9"/>
  <c r="F25" i="9"/>
  <c r="F24" i="9"/>
  <c r="F44" i="9" s="1"/>
  <c r="F22" i="9"/>
  <c r="H45" i="9" s="1"/>
  <c r="F21" i="9"/>
  <c r="F46" i="9" s="1"/>
  <c r="F20" i="9"/>
  <c r="F45" i="9" s="1"/>
  <c r="F19" i="9"/>
  <c r="F18" i="9"/>
  <c r="F42" i="8"/>
  <c r="F41" i="8"/>
  <c r="F40" i="8"/>
  <c r="J46" i="8" s="1"/>
  <c r="F39" i="8"/>
  <c r="F38" i="8"/>
  <c r="F35" i="8"/>
  <c r="F34" i="8"/>
  <c r="F33" i="8"/>
  <c r="F32" i="8"/>
  <c r="F30" i="8"/>
  <c r="F28" i="8"/>
  <c r="F25" i="8"/>
  <c r="F24" i="8"/>
  <c r="F23" i="8"/>
  <c r="F22" i="8"/>
  <c r="F20" i="8"/>
  <c r="F19" i="8"/>
  <c r="F28" i="7"/>
  <c r="F27" i="7"/>
  <c r="F25" i="7"/>
  <c r="F24" i="7"/>
  <c r="F26" i="7"/>
  <c r="F18" i="7"/>
  <c r="F22" i="7"/>
  <c r="J45" i="7" s="1"/>
  <c r="F21" i="7"/>
  <c r="F20" i="7"/>
  <c r="F19" i="6"/>
  <c r="F20" i="6"/>
  <c r="F48" i="6" s="1"/>
  <c r="F21" i="6"/>
  <c r="F22" i="6"/>
  <c r="H44" i="5"/>
  <c r="C49" i="5"/>
  <c r="F48" i="5"/>
  <c r="J47" i="5"/>
  <c r="J46" i="5"/>
  <c r="H46" i="5"/>
  <c r="F46" i="5"/>
  <c r="D45" i="5"/>
  <c r="D49" i="5" s="1"/>
  <c r="J45" i="5"/>
  <c r="J44" i="5"/>
  <c r="F44" i="5"/>
  <c r="H45" i="14" l="1"/>
  <c r="F47" i="23"/>
  <c r="F48" i="17"/>
  <c r="H45" i="7"/>
  <c r="H45" i="17"/>
  <c r="J45" i="15"/>
  <c r="F45" i="13"/>
  <c r="H45" i="13"/>
  <c r="J45" i="13"/>
  <c r="F45" i="12"/>
  <c r="H46" i="8"/>
  <c r="H45" i="8"/>
  <c r="F45" i="8"/>
  <c r="F47" i="8"/>
  <c r="H45" i="5"/>
  <c r="F45" i="5"/>
  <c r="C48" i="1"/>
  <c r="D47" i="1"/>
  <c r="D44" i="1"/>
  <c r="D48" i="1" s="1"/>
  <c r="D45" i="1"/>
  <c r="D46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48" i="1"/>
  <c r="F21" i="1" l="1"/>
  <c r="I21" i="1" s="1"/>
  <c r="F25" i="1" l="1"/>
  <c r="I25" i="1" s="1"/>
  <c r="F22" i="1"/>
  <c r="I22" i="1" s="1"/>
  <c r="F33" i="1"/>
  <c r="I33" i="1" s="1"/>
  <c r="F30" i="1"/>
  <c r="I30" i="1" s="1"/>
  <c r="F29" i="1"/>
  <c r="I29" i="1" s="1"/>
  <c r="F37" i="1"/>
  <c r="I37" i="1" s="1"/>
  <c r="F26" i="1"/>
  <c r="I26" i="1" s="1"/>
  <c r="F34" i="1"/>
  <c r="I34" i="1" s="1"/>
  <c r="F23" i="1"/>
  <c r="I23" i="1" s="1"/>
  <c r="F27" i="1"/>
  <c r="I27" i="1" s="1"/>
  <c r="F31" i="1"/>
  <c r="I31" i="1" s="1"/>
  <c r="F35" i="1"/>
  <c r="I35" i="1" s="1"/>
  <c r="F20" i="1"/>
  <c r="I20" i="1" s="1"/>
  <c r="F24" i="1"/>
  <c r="I24" i="1" s="1"/>
  <c r="F28" i="1"/>
  <c r="I28" i="1" s="1"/>
  <c r="F32" i="1"/>
  <c r="I32" i="1" s="1"/>
  <c r="F36" i="1"/>
  <c r="I36" i="1" s="1"/>
  <c r="I41" i="1" l="1"/>
</calcChain>
</file>

<file path=xl/sharedStrings.xml><?xml version="1.0" encoding="utf-8"?>
<sst xmlns="http://schemas.openxmlformats.org/spreadsheetml/2006/main" count="3855" uniqueCount="396">
  <si>
    <t>START</t>
  </si>
  <si>
    <t>END</t>
  </si>
  <si>
    <t>LOCATION</t>
  </si>
  <si>
    <t>VISUAL CONDITION SURVEY</t>
  </si>
  <si>
    <t>Project</t>
  </si>
  <si>
    <t>Direction</t>
  </si>
  <si>
    <t>Job No.</t>
  </si>
  <si>
    <t>Date</t>
  </si>
  <si>
    <t>Client</t>
  </si>
  <si>
    <t>Surveyor</t>
  </si>
  <si>
    <t>Sheet No.</t>
  </si>
  <si>
    <t>Weather</t>
  </si>
  <si>
    <t>Length Surveyed</t>
  </si>
  <si>
    <t>FEATURES</t>
  </si>
  <si>
    <t>Contractor</t>
  </si>
  <si>
    <t>Reference Section</t>
  </si>
  <si>
    <t>GPS References</t>
  </si>
  <si>
    <t>LANE</t>
  </si>
  <si>
    <t>CHAINAGE (m)</t>
  </si>
  <si>
    <t>LENGTH (m)</t>
  </si>
  <si>
    <t>HS</t>
  </si>
  <si>
    <t>CL1</t>
  </si>
  <si>
    <t>CL2</t>
  </si>
  <si>
    <t>CL3</t>
  </si>
  <si>
    <t>Start</t>
  </si>
  <si>
    <t>End</t>
  </si>
  <si>
    <t>CR(1) (P1)</t>
  </si>
  <si>
    <t>CR(2) (P2)</t>
  </si>
  <si>
    <t>CZ(1) (P3)</t>
  </si>
  <si>
    <t>CZ(2) (P4)</t>
  </si>
  <si>
    <t>FT(1) (P5)</t>
  </si>
  <si>
    <t>FT(2) (P6)</t>
  </si>
  <si>
    <t>SDR(2) (P8)</t>
  </si>
  <si>
    <t>SDD (P12)</t>
  </si>
  <si>
    <t>TC(1) (P13)</t>
  </si>
  <si>
    <t>TC(2) (P14)</t>
  </si>
  <si>
    <t>MP (P15)</t>
  </si>
  <si>
    <t>POT (P16)</t>
  </si>
  <si>
    <t>PF (P17)</t>
  </si>
  <si>
    <t>TF (P18)</t>
  </si>
  <si>
    <t>SDR(1) (P7)</t>
  </si>
  <si>
    <t>SDR(3) (P9)</t>
  </si>
  <si>
    <t>SD(1) (P10)</t>
  </si>
  <si>
    <t>SD(2) (P11)</t>
  </si>
  <si>
    <t>Pavement Testing Services Ltd</t>
  </si>
  <si>
    <r>
      <t xml:space="preserve">E: </t>
    </r>
    <r>
      <rPr>
        <b/>
        <u/>
        <sz val="10"/>
        <color indexed="30"/>
        <rFont val="Verdana"/>
        <family val="2"/>
      </rPr>
      <t>info@ptsinternational.co.uk</t>
    </r>
  </si>
  <si>
    <t>VISUAL ASSESSMENT REPORT - NEEDS RATING</t>
  </si>
  <si>
    <t>Date Surveyed</t>
  </si>
  <si>
    <t>Client Contact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</si>
  <si>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</si>
  <si>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</si>
  <si>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</si>
  <si>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</si>
  <si>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</si>
  <si>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</si>
  <si>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</si>
  <si>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</si>
  <si>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</si>
  <si>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</si>
  <si>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</si>
  <si>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</si>
  <si>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</si>
  <si>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</si>
  <si>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</si>
  <si>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</si>
  <si>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</si>
  <si>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</si>
  <si>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Defect Measurement:  P = 100 x A/S (%)   -   Where A = Area of the defect;   S = Area of the section</t>
  </si>
  <si>
    <t>WIDTH(m)</t>
  </si>
  <si>
    <t>LENGTH(m)</t>
  </si>
  <si>
    <t>Total</t>
  </si>
  <si>
    <t>Defects</t>
  </si>
  <si>
    <t>Cracking (Major)</t>
  </si>
  <si>
    <t>Area (A)</t>
  </si>
  <si>
    <t>Area (S)</t>
  </si>
  <si>
    <t>P(%)</t>
  </si>
  <si>
    <t>Cracking (Minor)</t>
  </si>
  <si>
    <t>Crazing (Major)</t>
  </si>
  <si>
    <t>Crazing (Minor)</t>
  </si>
  <si>
    <t>Fatting (Major)</t>
  </si>
  <si>
    <t>Fatting (Minor)</t>
  </si>
  <si>
    <t>Surface Defectiveness Rutting (Major)</t>
  </si>
  <si>
    <t>Surface Defectiveness Rutting (Moderate)</t>
  </si>
  <si>
    <t>Surface Defectiveness Rutting (Minor)</t>
  </si>
  <si>
    <t>Surface Defectiveness (Major)</t>
  </si>
  <si>
    <t>Surface Defectiveness (Minor)</t>
  </si>
  <si>
    <t>Surface Defectiveness Damage</t>
  </si>
  <si>
    <t>Transverse Crack (Major)</t>
  </si>
  <si>
    <t>Transverse Crack (Minor)</t>
  </si>
  <si>
    <t>Mud Pumping</t>
  </si>
  <si>
    <t>Pothole</t>
  </si>
  <si>
    <t>Patching Failure</t>
  </si>
  <si>
    <t>Trench Failure</t>
  </si>
  <si>
    <t>P</t>
  </si>
  <si>
    <t>Remarks</t>
  </si>
  <si>
    <t>NEEDS Rating</t>
  </si>
  <si>
    <t>Signed:</t>
  </si>
  <si>
    <t>Assessed By:</t>
  </si>
  <si>
    <t>Date of Assessment:</t>
  </si>
  <si>
    <t>N</t>
  </si>
  <si>
    <t>M</t>
  </si>
  <si>
    <t>W</t>
  </si>
  <si>
    <t>L</t>
  </si>
  <si>
    <t>R</t>
  </si>
  <si>
    <t>B</t>
  </si>
  <si>
    <t>F</t>
  </si>
  <si>
    <t>HRA</t>
  </si>
  <si>
    <t>MP</t>
  </si>
  <si>
    <t xml:space="preserve">N  </t>
  </si>
  <si>
    <t>MJ</t>
  </si>
  <si>
    <t xml:space="preserve">TSSC </t>
  </si>
  <si>
    <t>HFSC</t>
  </si>
  <si>
    <t>I(MH)</t>
  </si>
  <si>
    <t>Preston, LANCASHIRE, PR2 5AR</t>
  </si>
  <si>
    <t>1 Rough Hey Road, Grimsargh</t>
  </si>
  <si>
    <t>Britannia House</t>
  </si>
  <si>
    <t>T: 01772 792899</t>
  </si>
  <si>
    <r>
      <t>AREA(m</t>
    </r>
    <r>
      <rPr>
        <vertAlign val="superscript"/>
        <sz val="10"/>
        <rFont val="Verdana"/>
        <family val="2"/>
      </rPr>
      <t>2</t>
    </r>
    <r>
      <rPr>
        <sz val="10"/>
        <rFont val="Verdana"/>
        <family val="2"/>
      </rPr>
      <t>)</t>
    </r>
  </si>
  <si>
    <t>Lewis Mullarkey</t>
  </si>
  <si>
    <t>CR(1)</t>
  </si>
  <si>
    <t>CR(2)</t>
  </si>
  <si>
    <t>CZ(1)</t>
  </si>
  <si>
    <t>CZ(2)</t>
  </si>
  <si>
    <t>FT(1)</t>
  </si>
  <si>
    <t>FT(2)</t>
  </si>
  <si>
    <t>TC(1)</t>
  </si>
  <si>
    <t>TC(2)</t>
  </si>
  <si>
    <t>POT</t>
  </si>
  <si>
    <t>TF</t>
  </si>
  <si>
    <t>SD(1)</t>
  </si>
  <si>
    <t>SD(2)</t>
  </si>
  <si>
    <t>PTS</t>
  </si>
  <si>
    <t>TE</t>
  </si>
  <si>
    <t>Dry</t>
  </si>
  <si>
    <t xml:space="preserve">LOCATION   </t>
  </si>
  <si>
    <t>WIDTH (m)</t>
  </si>
  <si>
    <t>Area (m²)</t>
  </si>
  <si>
    <t>FEATURE / DEFECT</t>
  </si>
  <si>
    <t>SEVERITY</t>
  </si>
  <si>
    <t>PHOTO REF</t>
  </si>
  <si>
    <t>FLEXIBLE DEFECTS</t>
  </si>
  <si>
    <r>
      <t xml:space="preserve">TF - </t>
    </r>
    <r>
      <rPr>
        <sz val="8"/>
        <rFont val="Verdana"/>
        <family val="2"/>
      </rPr>
      <t>Trench Failure</t>
    </r>
    <r>
      <rPr>
        <b/>
        <sz val="8"/>
        <rFont val="Verdana"/>
        <family val="2"/>
      </rPr>
      <t xml:space="preserve">, SD - </t>
    </r>
    <r>
      <rPr>
        <sz val="8"/>
        <rFont val="Verdana"/>
        <family val="2"/>
      </rPr>
      <t>Surface Defectiveness</t>
    </r>
    <r>
      <rPr>
        <b/>
        <sz val="8"/>
        <rFont val="Verdana"/>
        <family val="2"/>
      </rPr>
      <t xml:space="preserve">, MP - </t>
    </r>
    <r>
      <rPr>
        <sz val="8"/>
        <rFont val="Verdana"/>
        <family val="2"/>
      </rPr>
      <t>Mud Pumping</t>
    </r>
    <r>
      <rPr>
        <b/>
        <sz val="8"/>
        <rFont val="Verdana"/>
        <family val="2"/>
      </rPr>
      <t>, Dep -</t>
    </r>
    <r>
      <rPr>
        <sz val="8"/>
        <rFont val="Verdana"/>
        <family val="2"/>
      </rPr>
      <t xml:space="preserve"> Depression</t>
    </r>
  </si>
  <si>
    <r>
      <t xml:space="preserve">L - </t>
    </r>
    <r>
      <rPr>
        <sz val="8"/>
        <rFont val="Verdana"/>
        <family val="2"/>
      </rPr>
      <t>Left WT</t>
    </r>
    <r>
      <rPr>
        <b/>
        <sz val="8"/>
        <rFont val="Verdana"/>
        <family val="2"/>
      </rPr>
      <t xml:space="preserve">, R - </t>
    </r>
    <r>
      <rPr>
        <sz val="8"/>
        <rFont val="Verdana"/>
        <family val="2"/>
      </rPr>
      <t>Right WT</t>
    </r>
    <r>
      <rPr>
        <b/>
        <sz val="8"/>
        <rFont val="Verdana"/>
        <family val="2"/>
      </rPr>
      <t>, B -</t>
    </r>
    <r>
      <rPr>
        <sz val="8"/>
        <rFont val="Verdana"/>
        <family val="2"/>
      </rPr>
      <t>Both WTs</t>
    </r>
    <r>
      <rPr>
        <b/>
        <sz val="8"/>
        <rFont val="Verdana"/>
        <family val="2"/>
      </rPr>
      <t xml:space="preserve">, N - </t>
    </r>
    <r>
      <rPr>
        <sz val="8"/>
        <rFont val="Verdana"/>
        <family val="2"/>
      </rPr>
      <t>Neither</t>
    </r>
    <r>
      <rPr>
        <b/>
        <sz val="8"/>
        <rFont val="Verdana"/>
        <family val="2"/>
      </rPr>
      <t xml:space="preserve">, F - </t>
    </r>
    <r>
      <rPr>
        <sz val="8"/>
        <rFont val="Verdana"/>
        <family val="2"/>
      </rPr>
      <t>Full Width</t>
    </r>
  </si>
  <si>
    <t>AREA(m²)</t>
  </si>
  <si>
    <r>
      <t xml:space="preserve">Severity 1 - </t>
    </r>
    <r>
      <rPr>
        <sz val="8"/>
        <rFont val="Verdana"/>
        <family val="2"/>
      </rPr>
      <t>Minor</t>
    </r>
    <r>
      <rPr>
        <b/>
        <sz val="8"/>
        <rFont val="Verdana"/>
        <family val="2"/>
      </rPr>
      <t xml:space="preserve">, 2 - </t>
    </r>
    <r>
      <rPr>
        <sz val="8"/>
        <rFont val="Verdana"/>
        <family val="2"/>
      </rPr>
      <t>Major</t>
    </r>
  </si>
  <si>
    <r>
      <t>LP -</t>
    </r>
    <r>
      <rPr>
        <sz val="8"/>
        <rFont val="Verdana"/>
        <family val="2"/>
      </rPr>
      <t xml:space="preserve"> Loops</t>
    </r>
    <r>
      <rPr>
        <b/>
        <sz val="8"/>
        <rFont val="Verdana"/>
        <family val="2"/>
      </rPr>
      <t xml:space="preserve">,  CJ - </t>
    </r>
    <r>
      <rPr>
        <sz val="8"/>
        <rFont val="Verdana"/>
        <family val="2"/>
      </rPr>
      <t>Construction Joints</t>
    </r>
    <r>
      <rPr>
        <b/>
        <sz val="8"/>
        <rFont val="Verdana"/>
        <family val="2"/>
      </rPr>
      <t xml:space="preserve">, BJ - </t>
    </r>
    <r>
      <rPr>
        <sz val="8"/>
        <rFont val="Verdana"/>
        <family val="2"/>
      </rPr>
      <t>Bridge Joint</t>
    </r>
    <r>
      <rPr>
        <b/>
        <sz val="8"/>
        <rFont val="Verdana"/>
        <family val="2"/>
      </rPr>
      <t xml:space="preserve">, N - </t>
    </r>
    <r>
      <rPr>
        <sz val="8"/>
        <rFont val="Verdana"/>
        <family val="2"/>
      </rPr>
      <t>Nodes</t>
    </r>
    <r>
      <rPr>
        <b/>
        <sz val="8"/>
        <rFont val="Verdana"/>
        <family val="2"/>
      </rPr>
      <t xml:space="preserve">, IW - </t>
    </r>
    <r>
      <rPr>
        <sz val="8"/>
        <rFont val="Verdana"/>
        <family val="2"/>
      </rPr>
      <t>Ironwork</t>
    </r>
  </si>
  <si>
    <r>
      <t xml:space="preserve">OJ- </t>
    </r>
    <r>
      <rPr>
        <sz val="8"/>
        <rFont val="Verdana"/>
        <family val="2"/>
      </rPr>
      <t>Open Joint</t>
    </r>
    <r>
      <rPr>
        <b/>
        <sz val="8"/>
        <rFont val="Verdana"/>
        <family val="2"/>
      </rPr>
      <t xml:space="preserve">, N = </t>
    </r>
    <r>
      <rPr>
        <sz val="8"/>
        <rFont val="Verdana"/>
        <family val="2"/>
      </rPr>
      <t>Narrow</t>
    </r>
    <r>
      <rPr>
        <b/>
        <sz val="8"/>
        <rFont val="Verdana"/>
        <family val="2"/>
      </rPr>
      <t xml:space="preserve"> M = </t>
    </r>
    <r>
      <rPr>
        <sz val="8"/>
        <rFont val="Verdana"/>
        <family val="2"/>
      </rPr>
      <t>Moderate</t>
    </r>
    <r>
      <rPr>
        <b/>
        <sz val="8"/>
        <rFont val="Verdana"/>
        <family val="2"/>
      </rPr>
      <t xml:space="preserve"> W = </t>
    </r>
    <r>
      <rPr>
        <sz val="8"/>
        <rFont val="Verdana"/>
        <family val="2"/>
      </rPr>
      <t>Wide</t>
    </r>
  </si>
  <si>
    <r>
      <t xml:space="preserve">CR - </t>
    </r>
    <r>
      <rPr>
        <sz val="8"/>
        <rFont val="Verdana"/>
        <family val="2"/>
      </rPr>
      <t>Cracking</t>
    </r>
    <r>
      <rPr>
        <b/>
        <sz val="8"/>
        <rFont val="Verdana"/>
        <family val="2"/>
      </rPr>
      <t xml:space="preserve">, TC - </t>
    </r>
    <r>
      <rPr>
        <sz val="8"/>
        <rFont val="Verdana"/>
        <family val="2"/>
      </rPr>
      <t>Transverse crack</t>
    </r>
    <r>
      <rPr>
        <b/>
        <sz val="8"/>
        <rFont val="Verdana"/>
        <family val="2"/>
      </rPr>
      <t xml:space="preserve">, CZ - </t>
    </r>
    <r>
      <rPr>
        <sz val="8"/>
        <rFont val="Verdana"/>
        <family val="2"/>
      </rPr>
      <t>Crazing</t>
    </r>
    <r>
      <rPr>
        <b/>
        <sz val="8"/>
        <rFont val="Verdana"/>
        <family val="2"/>
      </rPr>
      <t xml:space="preserve">, FT - </t>
    </r>
    <r>
      <rPr>
        <sz val="8"/>
        <rFont val="Verdana"/>
        <family val="2"/>
      </rPr>
      <t>Fatting</t>
    </r>
    <r>
      <rPr>
        <b/>
        <sz val="8"/>
        <rFont val="Verdana"/>
        <family val="2"/>
      </rPr>
      <t xml:space="preserve">, </t>
    </r>
  </si>
  <si>
    <t>IW</t>
  </si>
  <si>
    <t>LP</t>
  </si>
  <si>
    <t>OJ</t>
  </si>
  <si>
    <t>CJ</t>
  </si>
  <si>
    <t>BJ</t>
  </si>
  <si>
    <t>SURFACE</t>
  </si>
  <si>
    <r>
      <rPr>
        <b/>
        <sz val="8"/>
        <rFont val="Verdana"/>
        <family val="2"/>
      </rPr>
      <t>TSSC</t>
    </r>
    <r>
      <rPr>
        <sz val="8"/>
        <rFont val="Verdana"/>
        <family val="2"/>
      </rPr>
      <t xml:space="preserve"> - Thin Surfacing, </t>
    </r>
    <r>
      <rPr>
        <b/>
        <sz val="8"/>
        <rFont val="Verdana"/>
        <family val="2"/>
      </rPr>
      <t>HRA</t>
    </r>
    <r>
      <rPr>
        <sz val="8"/>
        <rFont val="Verdana"/>
        <family val="2"/>
      </rPr>
      <t xml:space="preserve"> - Hot Rolled Asphalt, </t>
    </r>
    <r>
      <rPr>
        <b/>
        <sz val="8"/>
        <rFont val="Verdana"/>
        <family val="2"/>
      </rPr>
      <t>HFSC</t>
    </r>
    <r>
      <rPr>
        <sz val="8"/>
        <rFont val="Verdana"/>
        <family val="2"/>
      </rPr>
      <t xml:space="preserve"> - High Friction</t>
    </r>
  </si>
  <si>
    <t>PA(1)</t>
  </si>
  <si>
    <t>PA(2)</t>
  </si>
  <si>
    <r>
      <rPr>
        <b/>
        <sz val="8"/>
        <rFont val="Verdana"/>
        <family val="2"/>
      </rPr>
      <t>PA(1)</t>
    </r>
    <r>
      <rPr>
        <sz val="8"/>
        <rFont val="Verdana"/>
        <family val="2"/>
      </rPr>
      <t xml:space="preserve"> - Patch Acceptable, </t>
    </r>
    <r>
      <rPr>
        <b/>
        <sz val="8"/>
        <rFont val="Verdana"/>
        <family val="2"/>
      </rPr>
      <t>PA(2)</t>
    </r>
    <r>
      <rPr>
        <sz val="8"/>
        <rFont val="Verdana"/>
        <family val="2"/>
      </rPr>
      <t xml:space="preserve"> - Patch Failure, </t>
    </r>
    <r>
      <rPr>
        <b/>
        <sz val="8"/>
        <rFont val="Verdana"/>
        <family val="2"/>
      </rPr>
      <t>POT</t>
    </r>
    <r>
      <rPr>
        <sz val="8"/>
        <rFont val="Verdana"/>
        <family val="2"/>
      </rPr>
      <t xml:space="preserve"> - Pothole</t>
    </r>
  </si>
  <si>
    <t>NB</t>
  </si>
  <si>
    <t>EB</t>
  </si>
  <si>
    <t>WB</t>
  </si>
  <si>
    <t>SB</t>
  </si>
  <si>
    <t>Coffey Group</t>
  </si>
  <si>
    <t>Trimpley to Hampton Loade Pipeline</t>
  </si>
  <si>
    <t>PTS23713-02</t>
  </si>
  <si>
    <t>376053 , 286859</t>
  </si>
  <si>
    <t>375152.9,286829.5</t>
  </si>
  <si>
    <t>MFV_31</t>
  </si>
  <si>
    <t>MFV_30</t>
  </si>
  <si>
    <t>376062.4,286782.6</t>
  </si>
  <si>
    <t xml:space="preserve">N:    286782  </t>
  </si>
  <si>
    <t>N:    287032</t>
  </si>
  <si>
    <t>204m</t>
  </si>
  <si>
    <t>MFV_29</t>
  </si>
  <si>
    <t>376127.60,286353.92</t>
  </si>
  <si>
    <t>376354.52,286393.34</t>
  </si>
  <si>
    <t>376502.89,285771.31</t>
  </si>
  <si>
    <t>376168 , 286256</t>
  </si>
  <si>
    <t>N:    286256</t>
  </si>
  <si>
    <t>376635 , 285580</t>
  </si>
  <si>
    <t>376761 , 285592</t>
  </si>
  <si>
    <t>376752 , 285143</t>
  </si>
  <si>
    <t>376625 , 285158</t>
  </si>
  <si>
    <t xml:space="preserve">N:    285143    </t>
  </si>
  <si>
    <t>N:    285158</t>
  </si>
  <si>
    <t>Cooks Cross</t>
  </si>
  <si>
    <t>376755.82,285148.24</t>
  </si>
  <si>
    <t xml:space="preserve">N:    285148    </t>
  </si>
  <si>
    <t>376919 , 285356</t>
  </si>
  <si>
    <t>N:    285356</t>
  </si>
  <si>
    <t>A442 Part 3</t>
  </si>
  <si>
    <t>376756 , 284924</t>
  </si>
  <si>
    <t>376733 , 285217</t>
  </si>
  <si>
    <t>Romsley Lane</t>
  </si>
  <si>
    <t>MFV_28</t>
  </si>
  <si>
    <t>Lowe Lane</t>
  </si>
  <si>
    <t>377480 , 282863</t>
  </si>
  <si>
    <t xml:space="preserve">N:    282863    </t>
  </si>
  <si>
    <t>377233 , 282725</t>
  </si>
  <si>
    <t>N:    282725</t>
  </si>
  <si>
    <t>A442 Part 4</t>
  </si>
  <si>
    <t>377544 , 282756</t>
  </si>
  <si>
    <t>377418 , 282972</t>
  </si>
  <si>
    <t xml:space="preserve">N:    282756    </t>
  </si>
  <si>
    <t>N:    282972</t>
  </si>
  <si>
    <t>Lion Lane</t>
  </si>
  <si>
    <t>377789 , 282241</t>
  </si>
  <si>
    <t>377606 , 282081</t>
  </si>
  <si>
    <t>MFV_27</t>
  </si>
  <si>
    <t>Arley Lane</t>
  </si>
  <si>
    <t>378248 , 280771</t>
  </si>
  <si>
    <t>378796 , 281044</t>
  </si>
  <si>
    <t>Trimpley Lane Part 1</t>
  </si>
  <si>
    <t>MFV_25</t>
  </si>
  <si>
    <t>379328 , 280492</t>
  </si>
  <si>
    <t>379208 , 280758</t>
  </si>
  <si>
    <t xml:space="preserve">N:    280492    </t>
  </si>
  <si>
    <t>N:    280758</t>
  </si>
  <si>
    <t>Trimpley Lane Part 2</t>
  </si>
  <si>
    <t>379203 , 279373</t>
  </si>
  <si>
    <t>379219 , 279797</t>
  </si>
  <si>
    <t>E:    379203</t>
  </si>
  <si>
    <t>E:    379219</t>
  </si>
  <si>
    <t>379290 , 280672</t>
  </si>
  <si>
    <t>379491 , 280596</t>
  </si>
  <si>
    <t>E:    379290</t>
  </si>
  <si>
    <t>E:    379491</t>
  </si>
  <si>
    <t>Trimpley Lane Side</t>
  </si>
  <si>
    <t>Trimpley Village Hall</t>
  </si>
  <si>
    <t>MFV_24</t>
  </si>
  <si>
    <t>378862 , 278829</t>
  </si>
  <si>
    <t>378760 , 278958</t>
  </si>
  <si>
    <t>E:    378862</t>
  </si>
  <si>
    <t xml:space="preserve">N:    278829    </t>
  </si>
  <si>
    <t>E:    378760</t>
  </si>
  <si>
    <t>N:    278958</t>
  </si>
  <si>
    <t>Trimpley Village Reservoir</t>
  </si>
  <si>
    <t>378607 , 278653</t>
  </si>
  <si>
    <t>378375 , 278725</t>
  </si>
  <si>
    <t>E:    378607</t>
  </si>
  <si>
    <t xml:space="preserve">N:    278653     </t>
  </si>
  <si>
    <t>E:    378375</t>
  </si>
  <si>
    <t>N:    278725</t>
  </si>
  <si>
    <t>983m</t>
  </si>
  <si>
    <t>271m</t>
  </si>
  <si>
    <t>236m</t>
  </si>
  <si>
    <t>790m</t>
  </si>
  <si>
    <t>123m</t>
  </si>
  <si>
    <t>125m</t>
  </si>
  <si>
    <t>269m</t>
  </si>
  <si>
    <t>309m</t>
  </si>
  <si>
    <t>376843 , 285217</t>
  </si>
  <si>
    <t>377983 , 283404</t>
  </si>
  <si>
    <t>2260m</t>
  </si>
  <si>
    <t>Sham Lane</t>
  </si>
  <si>
    <t>377982 , 283392</t>
  </si>
  <si>
    <t>377216 , 283243</t>
  </si>
  <si>
    <t xml:space="preserve">N:    283392    </t>
  </si>
  <si>
    <t>N:    283243</t>
  </si>
  <si>
    <t>795m</t>
  </si>
  <si>
    <t>286m</t>
  </si>
  <si>
    <t>247m</t>
  </si>
  <si>
    <t>263m</t>
  </si>
  <si>
    <t>623m</t>
  </si>
  <si>
    <t>310m</t>
  </si>
  <si>
    <t>174m</t>
  </si>
  <si>
    <t>250m</t>
  </si>
  <si>
    <t>CL1,CR1</t>
  </si>
  <si>
    <t>CR1</t>
  </si>
  <si>
    <t>Trench</t>
  </si>
  <si>
    <t>2 (Dep)</t>
  </si>
  <si>
    <t>End of Survey @ Ch. 983m</t>
  </si>
  <si>
    <t>MFV_02</t>
  </si>
  <si>
    <t xml:space="preserve">CL1 </t>
  </si>
  <si>
    <t>End of Survey @ Ch. 271m</t>
  </si>
  <si>
    <t xml:space="preserve">Trench </t>
  </si>
  <si>
    <t>End of Survey @ Ch. 236m</t>
  </si>
  <si>
    <t xml:space="preserve">N:    285588   </t>
  </si>
  <si>
    <t>2 (Cracking)</t>
  </si>
  <si>
    <t>Cracking</t>
  </si>
  <si>
    <t>IW&amp;PA</t>
  </si>
  <si>
    <t>End of Survey @ Ch. 790m</t>
  </si>
  <si>
    <t>End of Survey @ Ch. 123m</t>
  </si>
  <si>
    <t>End of Survey @ Ch. 125m</t>
  </si>
  <si>
    <t>End of Survey @ Ch. 269m</t>
  </si>
  <si>
    <t>R - L</t>
  </si>
  <si>
    <t>L - R</t>
  </si>
  <si>
    <t>2 (Crazing)</t>
  </si>
  <si>
    <t>End of Survey @ Ch. 309m</t>
  </si>
  <si>
    <t>2 (Worn)</t>
  </si>
  <si>
    <t>2 (Sunk)</t>
  </si>
  <si>
    <t>End of Survey @ Ch. 2260m</t>
  </si>
  <si>
    <t>Depression</t>
  </si>
  <si>
    <t>End of Survey @ Ch. 795m</t>
  </si>
  <si>
    <t>End of Survey @ Ch. 286m</t>
  </si>
  <si>
    <t>End of Survey @ Ch. 247m</t>
  </si>
  <si>
    <t>MFV_03</t>
  </si>
  <si>
    <t>End of Survey @ Ch. 263m</t>
  </si>
  <si>
    <t>469m</t>
  </si>
  <si>
    <t>MFV_26</t>
  </si>
  <si>
    <t>Sunk</t>
  </si>
  <si>
    <t>End of Survey @ Ch. 623m</t>
  </si>
  <si>
    <t>MFV_22</t>
  </si>
  <si>
    <t>End of Survey @ Ch. 310m</t>
  </si>
  <si>
    <t>MFV_23</t>
  </si>
  <si>
    <t>End of Survey @ Ch. 469m</t>
  </si>
  <si>
    <t>End of Survey @ Ch. 204m</t>
  </si>
  <si>
    <t>Dirt Road</t>
  </si>
  <si>
    <t>N - L</t>
  </si>
  <si>
    <t>End of Survey @ Ch. 174m</t>
  </si>
  <si>
    <t>End of Survey @ Ch. 250m</t>
  </si>
  <si>
    <t>Cattle Grid @ Ch. 982m</t>
  </si>
  <si>
    <t>Carriageway Splits to 1 Lane @ Ch. 16m</t>
  </si>
  <si>
    <t>Carriageway Splits to 1 Lane @ Ch. 33m</t>
  </si>
  <si>
    <t>Carriageway Splits to 1 Lane @ Ch. 23m</t>
  </si>
  <si>
    <t>Carriageway Splits to 1 Lane @ Ch. 14m</t>
  </si>
  <si>
    <t>Carriageway Merges to 2 Lanes @ Ch. 750m</t>
  </si>
  <si>
    <t>Carriageway Splits to 2 Lanes @ Ch. 185m</t>
  </si>
  <si>
    <t>TSSC to Dirt Road @ Ch. 129m</t>
  </si>
  <si>
    <t>1 of 24</t>
  </si>
  <si>
    <t>2 of 24</t>
  </si>
  <si>
    <t>3 of 24</t>
  </si>
  <si>
    <t>4 of 24</t>
  </si>
  <si>
    <t>5 of 24</t>
  </si>
  <si>
    <t>6 of 24</t>
  </si>
  <si>
    <t>7 of 24</t>
  </si>
  <si>
    <t>8 of 24</t>
  </si>
  <si>
    <t>9 of 24</t>
  </si>
  <si>
    <t>10 of 24</t>
  </si>
  <si>
    <t>11 of 24</t>
  </si>
  <si>
    <t>12 of 24</t>
  </si>
  <si>
    <t>13 of 24</t>
  </si>
  <si>
    <t>14 of 24</t>
  </si>
  <si>
    <t xml:space="preserve">15 of 24 </t>
  </si>
  <si>
    <t>16 of 24</t>
  </si>
  <si>
    <t>17 of 24</t>
  </si>
  <si>
    <t>18 of 24</t>
  </si>
  <si>
    <t>19 of 24</t>
  </si>
  <si>
    <t>20 of 24</t>
  </si>
  <si>
    <t>21 of 24</t>
  </si>
  <si>
    <t>22 of 24</t>
  </si>
  <si>
    <t>23 of 24</t>
  </si>
  <si>
    <t>24 of 24</t>
  </si>
  <si>
    <t>E:    376053</t>
  </si>
  <si>
    <t>E:    375152</t>
  </si>
  <si>
    <t xml:space="preserve">N:    286859   </t>
  </si>
  <si>
    <t>N:    286829</t>
  </si>
  <si>
    <t>E:    376062</t>
  </si>
  <si>
    <t>E:    376042</t>
  </si>
  <si>
    <t>E:    376127</t>
  </si>
  <si>
    <t>E:    376354</t>
  </si>
  <si>
    <t xml:space="preserve">N:    286353   </t>
  </si>
  <si>
    <t>N:    286393</t>
  </si>
  <si>
    <t>E:    376623</t>
  </si>
  <si>
    <t>E:    376168</t>
  </si>
  <si>
    <t xml:space="preserve">N:     285588   </t>
  </si>
  <si>
    <t>N:     286256</t>
  </si>
  <si>
    <t>E:    376635</t>
  </si>
  <si>
    <t>E:    376761</t>
  </si>
  <si>
    <t xml:space="preserve">N:    285580    </t>
  </si>
  <si>
    <t>N:    285592</t>
  </si>
  <si>
    <t>E:    376752</t>
  </si>
  <si>
    <t>E:    376625</t>
  </si>
  <si>
    <t>E:    376755</t>
  </si>
  <si>
    <t>E:    376919</t>
  </si>
  <si>
    <t>E:    376756</t>
  </si>
  <si>
    <t>E:    376733</t>
  </si>
  <si>
    <t xml:space="preserve">N:    284924     </t>
  </si>
  <si>
    <t>N:    285217</t>
  </si>
  <si>
    <t>E:    376843</t>
  </si>
  <si>
    <t>E:    377983</t>
  </si>
  <si>
    <t xml:space="preserve">N:    285217     </t>
  </si>
  <si>
    <t>N:    283404</t>
  </si>
  <si>
    <t>E:    377982</t>
  </si>
  <si>
    <t>E:    377216</t>
  </si>
  <si>
    <t>E:    377480</t>
  </si>
  <si>
    <t>E:    377233</t>
  </si>
  <si>
    <t>E:    377544</t>
  </si>
  <si>
    <t>E:    377418</t>
  </si>
  <si>
    <t>E:    377789</t>
  </si>
  <si>
    <t>E:    377606</t>
  </si>
  <si>
    <t xml:space="preserve">N:    282241     </t>
  </si>
  <si>
    <t xml:space="preserve">N:    282081 </t>
  </si>
  <si>
    <t>E:    378248</t>
  </si>
  <si>
    <t>E:    378796</t>
  </si>
  <si>
    <t xml:space="preserve">N:     280771    </t>
  </si>
  <si>
    <t>N:     281044</t>
  </si>
  <si>
    <t>E:    379328</t>
  </si>
  <si>
    <t>E:    379208</t>
  </si>
  <si>
    <t xml:space="preserve">N:    279373     </t>
  </si>
  <si>
    <t>N:    279797</t>
  </si>
  <si>
    <t xml:space="preserve">N:    280672     </t>
  </si>
  <si>
    <t>N:    280596</t>
  </si>
  <si>
    <t>POT&amp;CR(1)</t>
  </si>
  <si>
    <t>A442 Sideroad Part 2</t>
  </si>
  <si>
    <t>2300A585/109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</si>
</sst>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/mm/yy;@"/>
    <numFmt numFmtId="166" formatCode="0.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0"/>
      <name val="Verdana"/>
      <family val="2"/>
    </font>
    <font>
      <vertAlign val="superscript"/>
      <sz val="10"/>
      <name val="Verdana"/>
      <family val="2"/>
    </font>
    <font>
      <sz val="9"/>
      <name val="Verdana"/>
      <family val="2"/>
    </font>
    <font>
      <b/>
      <u/>
      <sz val="10"/>
      <color indexed="30"/>
      <name val="Verdana"/>
      <family val="2"/>
    </font>
    <font>
      <b/>
      <sz val="9"/>
      <name val="Verdana"/>
      <family val="2"/>
    </font>
    <font>
      <b/>
      <sz val="10"/>
      <color indexed="10"/>
      <name val="Verdana"/>
      <family val="2"/>
    </font>
    <font>
      <b/>
      <sz val="11"/>
      <color indexed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Verdana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2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7" fillId="0" borderId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7" fillId="23" borderId="7" applyNumberFormat="0" applyFont="0" applyAlignment="0" applyProtection="0"/>
    <xf numFmtId="0" fontId="29" fillId="20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1" fillId="0" borderId="0"/>
    <xf numFmtId="0" fontId="1" fillId="24" borderId="6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68" applyNumberFormat="0" applyFill="0" applyAlignment="0" applyProtection="0"/>
    <xf numFmtId="0" fontId="38" fillId="0" borderId="69" applyNumberFormat="0" applyFill="0" applyAlignment="0" applyProtection="0"/>
    <xf numFmtId="0" fontId="39" fillId="0" borderId="70" applyNumberFormat="0" applyFill="0" applyAlignment="0" applyProtection="0"/>
    <xf numFmtId="0" fontId="39" fillId="0" borderId="0" applyNumberFormat="0" applyFill="0" applyBorder="0" applyAlignment="0" applyProtection="0"/>
    <xf numFmtId="0" fontId="40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27" borderId="0" applyNumberFormat="0" applyBorder="0" applyAlignment="0" applyProtection="0"/>
    <xf numFmtId="0" fontId="43" fillId="28" borderId="71" applyNumberFormat="0" applyAlignment="0" applyProtection="0"/>
    <xf numFmtId="0" fontId="44" fillId="29" borderId="72" applyNumberFormat="0" applyAlignment="0" applyProtection="0"/>
    <xf numFmtId="0" fontId="45" fillId="29" borderId="71" applyNumberFormat="0" applyAlignment="0" applyProtection="0"/>
    <xf numFmtId="0" fontId="46" fillId="0" borderId="73" applyNumberFormat="0" applyFill="0" applyAlignment="0" applyProtection="0"/>
    <xf numFmtId="0" fontId="47" fillId="30" borderId="74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75" applyNumberFormat="0" applyFill="0" applyAlignment="0" applyProtection="0"/>
    <xf numFmtId="0" fontId="50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50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50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50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50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50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9" fontId="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4" borderId="67" applyNumberFormat="0" applyFont="0" applyAlignment="0" applyProtection="0"/>
  </cellStyleXfs>
  <cellXfs count="199">
    <xf numFmtId="0" fontId="0" fillId="0" borderId="0" xfId="0"/>
    <xf numFmtId="2" fontId="0" fillId="0" borderId="0" xfId="0" applyNumberForma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0" fillId="0" borderId="0" xfId="28" applyFont="1"/>
    <xf numFmtId="0" fontId="6" fillId="0" borderId="0" xfId="28" applyFont="1" applyAlignment="1">
      <alignment horizontal="left"/>
    </xf>
    <xf numFmtId="2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8" fillId="0" borderId="22" xfId="0" applyFont="1" applyBorder="1"/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6" fillId="0" borderId="22" xfId="28" applyFont="1" applyBorder="1"/>
    <xf numFmtId="0" fontId="0" fillId="0" borderId="23" xfId="28" applyFont="1" applyBorder="1"/>
    <xf numFmtId="0" fontId="9" fillId="0" borderId="22" xfId="28" applyFont="1" applyBorder="1"/>
    <xf numFmtId="0" fontId="6" fillId="0" borderId="0" xfId="28" applyFont="1"/>
    <xf numFmtId="0" fontId="3" fillId="0" borderId="0" xfId="0" applyFont="1"/>
    <xf numFmtId="0" fontId="4" fillId="0" borderId="19" xfId="0" applyFont="1" applyBorder="1"/>
    <xf numFmtId="0" fontId="4" fillId="0" borderId="22" xfId="0" applyFont="1" applyBorder="1"/>
    <xf numFmtId="0" fontId="5" fillId="0" borderId="22" xfId="0" applyFont="1" applyBorder="1"/>
    <xf numFmtId="0" fontId="3" fillId="0" borderId="22" xfId="0" applyFont="1" applyBorder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2" fontId="3" fillId="0" borderId="1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3" fillId="0" borderId="10" xfId="0" applyFont="1" applyBorder="1" applyAlignment="1">
      <alignment vertical="center"/>
    </xf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5" fillId="0" borderId="0" xfId="0" applyFont="1"/>
    <xf numFmtId="2" fontId="3" fillId="0" borderId="33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3" fillId="0" borderId="34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3" fillId="0" borderId="0" xfId="0" applyFont="1" applyAlignment="1">
      <alignment horizontal="left" vertical="center"/>
    </xf>
    <xf numFmtId="2" fontId="33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left"/>
    </xf>
    <xf numFmtId="0" fontId="33" fillId="0" borderId="0" xfId="28" applyFont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22" xfId="28" applyFont="1" applyBorder="1" applyAlignment="1">
      <alignment horizontal="left"/>
    </xf>
    <xf numFmtId="49" fontId="3" fillId="0" borderId="37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2" fontId="3" fillId="0" borderId="66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0" fillId="0" borderId="27" xfId="0" applyBorder="1"/>
    <xf numFmtId="0" fontId="9" fillId="0" borderId="19" xfId="28" applyFont="1" applyBorder="1"/>
    <xf numFmtId="0" fontId="5" fillId="0" borderId="24" xfId="28" applyFont="1" applyBorder="1" applyAlignment="1">
      <alignment horizontal="left"/>
    </xf>
    <xf numFmtId="0" fontId="6" fillId="0" borderId="25" xfId="28" applyFont="1" applyBorder="1" applyAlignment="1">
      <alignment horizontal="left"/>
    </xf>
    <xf numFmtId="0" fontId="5" fillId="0" borderId="25" xfId="0" applyFont="1" applyBorder="1"/>
    <xf numFmtId="49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1" fontId="51" fillId="0" borderId="16" xfId="87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6" xfId="0" applyBorder="1"/>
    <xf numFmtId="0" fontId="51" fillId="0" borderId="16" xfId="87" applyFont="1" applyBorder="1" applyAlignment="1">
      <alignment vertical="center"/>
    </xf>
    <xf numFmtId="1" fontId="51" fillId="0" borderId="37" xfId="87" applyNumberFormat="1" applyFont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0" fontId="51" fillId="0" borderId="54" xfId="87" applyFont="1" applyBorder="1" applyAlignment="1">
      <alignment vertical="center"/>
    </xf>
    <xf numFmtId="0" fontId="51" fillId="0" borderId="37" xfId="87" applyFont="1" applyBorder="1" applyAlignment="1">
      <alignment vertical="center"/>
    </xf>
    <xf numFmtId="2" fontId="3" fillId="0" borderId="16" xfId="0" applyNumberFormat="1" applyFont="1" applyBorder="1" applyAlignment="1">
      <alignment vertical="center"/>
    </xf>
    <xf numFmtId="0" fontId="51" fillId="0" borderId="16" xfId="87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14" xfId="0" applyNumberFormat="1" applyFont="1" applyBorder="1" applyAlignment="1">
      <alignment horizontal="center" vertical="center"/>
    </xf>
    <xf numFmtId="0" fontId="6" fillId="0" borderId="25" xfId="0" applyFont="1" applyBorder="1"/>
    <xf numFmtId="0" fontId="6" fillId="0" borderId="26" xfId="0" applyFont="1" applyBorder="1"/>
    <xf numFmtId="0" fontId="6" fillId="0" borderId="23" xfId="28" applyFont="1" applyBorder="1"/>
    <xf numFmtId="0" fontId="0" fillId="0" borderId="0" xfId="0" applyAlignment="1">
      <alignment vertical="center"/>
    </xf>
    <xf numFmtId="2" fontId="3" fillId="0" borderId="49" xfId="0" applyNumberFormat="1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51" fillId="0" borderId="37" xfId="87" applyFont="1" applyBorder="1" applyAlignment="1">
      <alignment horizontal="center" vertical="center"/>
    </xf>
    <xf numFmtId="166" fontId="3" fillId="0" borderId="37" xfId="0" applyNumberFormat="1" applyFont="1" applyBorder="1" applyAlignment="1">
      <alignment horizontal="center" vertical="center"/>
    </xf>
    <xf numFmtId="1" fontId="51" fillId="0" borderId="80" xfId="87" applyNumberFormat="1" applyFont="1" applyBorder="1" applyAlignment="1">
      <alignment horizontal="center" vertical="center"/>
    </xf>
    <xf numFmtId="49" fontId="3" fillId="0" borderId="81" xfId="0" applyNumberFormat="1" applyFont="1" applyBorder="1" applyAlignment="1">
      <alignment horizontal="center" vertical="center"/>
    </xf>
    <xf numFmtId="0" fontId="51" fillId="0" borderId="54" xfId="87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4" fontId="11" fillId="0" borderId="3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2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4" fontId="3" fillId="0" borderId="45" xfId="0" applyNumberFormat="1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3" fillId="0" borderId="49" xfId="0" applyFont="1" applyBorder="1" applyAlignment="1">
      <alignment horizontal="left" vertical="center"/>
    </xf>
    <xf numFmtId="0" fontId="3" fillId="0" borderId="50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top"/>
    </xf>
    <xf numFmtId="0" fontId="11" fillId="0" borderId="20" xfId="0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24" xfId="0" applyFont="1" applyBorder="1" applyAlignment="1">
      <alignment horizontal="left" vertical="top"/>
    </xf>
    <xf numFmtId="0" fontId="11" fillId="0" borderId="25" xfId="0" applyFont="1" applyBorder="1" applyAlignment="1">
      <alignment horizontal="left" vertical="top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5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11" fillId="0" borderId="16" xfId="0" applyFont="1" applyBorder="1" applyAlignment="1">
      <alignment horizontal="left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54" xfId="0" applyFont="1" applyBorder="1" applyAlignment="1">
      <alignment horizontal="left" vertical="center"/>
    </xf>
    <xf numFmtId="0" fontId="2" fillId="0" borderId="2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3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0" fontId="9" fillId="0" borderId="79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76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77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0" fillId="0" borderId="63" xfId="0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78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76" xfId="0" applyNumberFormat="1" applyFont="1" applyBorder="1" applyAlignment="1">
      <alignment horizontal="center" vertical="center"/>
    </xf>
    <xf numFmtId="0" fontId="9" fillId="0" borderId="76" xfId="0" applyFont="1" applyBorder="1" applyAlignment="1">
      <alignment horizontal="center"/>
    </xf>
    <xf numFmtId="0" fontId="3" fillId="0" borderId="7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" fontId="51" fillId="0" borderId="49" xfId="87" applyNumberFormat="1" applyFont="1" applyBorder="1" applyAlignment="1">
      <alignment horizontal="center" vertical="center"/>
    </xf>
    <xf numFmtId="1" fontId="51" fillId="0" borderId="50" xfId="87" applyNumberFormat="1" applyFont="1" applyBorder="1" applyAlignment="1">
      <alignment horizontal="center" vertical="center"/>
    </xf>
    <xf numFmtId="1" fontId="51" fillId="0" borderId="51" xfId="87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right"/>
    </xf>
    <xf numFmtId="0" fontId="6" fillId="0" borderId="26" xfId="0" applyFont="1" applyBorder="1" applyAlignment="1">
      <alignment horizontal="right"/>
    </xf>
    <xf numFmtId="0" fontId="6" fillId="0" borderId="0" xfId="0" applyFont="1" applyAlignment="1">
      <alignment horizontal="left"/>
    </xf>
  </cellXfs>
  <cellStyles count="92">
    <cellStyle name="20% - Accent1" xfId="1" builtinId="30" customBuiltin="1"/>
    <cellStyle name="20% - Accent1 2" xfId="63" xr:uid="{989748F1-6C67-4526-93D9-A4DB78E4EDF4}"/>
    <cellStyle name="20% - Accent2" xfId="2" builtinId="34" customBuiltin="1"/>
    <cellStyle name="20% - Accent2 2" xfId="67" xr:uid="{4296403D-0CBD-4472-8A24-82EFC578B0C3}"/>
    <cellStyle name="20% - Accent3" xfId="3" builtinId="38" customBuiltin="1"/>
    <cellStyle name="20% - Accent3 2" xfId="71" xr:uid="{FA0A27F8-B47F-4F81-A735-53841A3D1EE9}"/>
    <cellStyle name="20% - Accent4" xfId="4" builtinId="42" customBuiltin="1"/>
    <cellStyle name="20% - Accent4 2" xfId="75" xr:uid="{AD5D7063-7F93-49A4-95C0-14997E5312F9}"/>
    <cellStyle name="20% - Accent5" xfId="5" builtinId="46" customBuiltin="1"/>
    <cellStyle name="20% - Accent5 2" xfId="79" xr:uid="{55525E92-08FE-4DAB-8F40-22EE6DD86D40}"/>
    <cellStyle name="20% - Accent6" xfId="6" builtinId="50" customBuiltin="1"/>
    <cellStyle name="20% - Accent6 2" xfId="83" xr:uid="{3A3868A9-E545-4E7E-A2DF-5CD8596CBBB4}"/>
    <cellStyle name="40% - Accent1" xfId="7" builtinId="31" customBuiltin="1"/>
    <cellStyle name="40% - Accent1 2" xfId="64" xr:uid="{EE248E71-2EC8-4CDF-8065-D6621DB94B22}"/>
    <cellStyle name="40% - Accent2" xfId="8" builtinId="35" customBuiltin="1"/>
    <cellStyle name="40% - Accent2 2" xfId="68" xr:uid="{54EA3A68-EFC9-42CB-8EE7-40024081CD6A}"/>
    <cellStyle name="40% - Accent3" xfId="9" builtinId="39" customBuiltin="1"/>
    <cellStyle name="40% - Accent3 2" xfId="72" xr:uid="{FB770E41-4B6E-4B1E-94CE-A5608240ACC2}"/>
    <cellStyle name="40% - Accent4" xfId="10" builtinId="43" customBuiltin="1"/>
    <cellStyle name="40% - Accent4 2" xfId="76" xr:uid="{A70421B7-D630-4FF0-AA2D-FD2C73D940B5}"/>
    <cellStyle name="40% - Accent5" xfId="11" builtinId="47" customBuiltin="1"/>
    <cellStyle name="40% - Accent5 2" xfId="80" xr:uid="{35D0FAFF-068F-4048-860A-5AC06A2D2520}"/>
    <cellStyle name="40% - Accent6" xfId="12" builtinId="51" customBuiltin="1"/>
    <cellStyle name="40% - Accent6 2" xfId="84" xr:uid="{4890BF64-DF5A-4F22-AB21-C41D56B2D936}"/>
    <cellStyle name="60% - Accent1" xfId="13" builtinId="32" customBuiltin="1"/>
    <cellStyle name="60% - Accent1 2" xfId="65" xr:uid="{96E3C277-C966-48FA-BEF4-C1A3B4932FB2}"/>
    <cellStyle name="60% - Accent2" xfId="14" builtinId="36" customBuiltin="1"/>
    <cellStyle name="60% - Accent2 2" xfId="69" xr:uid="{F041CBED-6B4A-4E9C-AB50-5BE0C7FE0AB9}"/>
    <cellStyle name="60% - Accent3" xfId="15" builtinId="40" customBuiltin="1"/>
    <cellStyle name="60% - Accent3 2" xfId="73" xr:uid="{4A950AFE-4996-4855-A580-BC9E7B80174B}"/>
    <cellStyle name="60% - Accent4" xfId="16" builtinId="44" customBuiltin="1"/>
    <cellStyle name="60% - Accent4 2" xfId="77" xr:uid="{FEA5161B-AEAD-4455-A9C0-55165364BC4F}"/>
    <cellStyle name="60% - Accent5" xfId="17" builtinId="48" customBuiltin="1"/>
    <cellStyle name="60% - Accent5 2" xfId="81" xr:uid="{BE38FB38-B08B-4ACC-9C70-848E7CA6AAD6}"/>
    <cellStyle name="60% - Accent6" xfId="18" builtinId="52" customBuiltin="1"/>
    <cellStyle name="60% - Accent6 2" xfId="85" xr:uid="{1DBAEC95-708B-4138-9F7C-FA15D829848D}"/>
    <cellStyle name="Accent1" xfId="19" builtinId="29" customBuiltin="1"/>
    <cellStyle name="Accent1 2" xfId="62" xr:uid="{60E08AEC-49FA-456A-8A79-7957CE9ACCDF}"/>
    <cellStyle name="Accent2" xfId="20" builtinId="33" customBuiltin="1"/>
    <cellStyle name="Accent2 2" xfId="66" xr:uid="{CC000EE4-9A25-47E0-9369-F06C0D4B39A6}"/>
    <cellStyle name="Accent3" xfId="21" builtinId="37" customBuiltin="1"/>
    <cellStyle name="Accent3 2" xfId="70" xr:uid="{AC20C34C-BD2E-445D-9E04-AC0DAD83F640}"/>
    <cellStyle name="Accent4" xfId="22" builtinId="41" customBuiltin="1"/>
    <cellStyle name="Accent4 2" xfId="74" xr:uid="{DD41B7B6-58FE-4469-8D34-A20713230BAF}"/>
    <cellStyle name="Accent5" xfId="23" builtinId="45" customBuiltin="1"/>
    <cellStyle name="Accent5 2" xfId="78" xr:uid="{0C004FA8-1275-4F48-B317-71F808FAB00F}"/>
    <cellStyle name="Accent6" xfId="24" builtinId="49" customBuiltin="1"/>
    <cellStyle name="Accent6 2" xfId="82" xr:uid="{2019F86F-7E28-4DE7-8887-E6DDA5B14ED3}"/>
    <cellStyle name="Bad" xfId="25" builtinId="27" customBuiltin="1"/>
    <cellStyle name="Bad 2" xfId="52" xr:uid="{057F2752-4ADF-488C-98E7-52BE45E5FF15}"/>
    <cellStyle name="Calculation" xfId="26" builtinId="22" customBuiltin="1"/>
    <cellStyle name="Calculation 2" xfId="56" xr:uid="{6D38ACCC-BCBA-4B01-8E18-FFDB82DA3D3B}"/>
    <cellStyle name="Check Cell" xfId="27" builtinId="23" customBuiltin="1"/>
    <cellStyle name="Check Cell 2" xfId="58" xr:uid="{12E136A1-2DEA-46E1-805C-1EEE054F720C}"/>
    <cellStyle name="Excel Built-in Normal" xfId="28" xr:uid="{00000000-0005-0000-0000-00001B000000}"/>
    <cellStyle name="Explanatory Text" xfId="29" builtinId="53" customBuiltin="1"/>
    <cellStyle name="Explanatory Text 2" xfId="60" xr:uid="{8E2A928D-4661-444E-AABC-3687A76EC19F}"/>
    <cellStyle name="Good" xfId="30" builtinId="26" customBuiltin="1"/>
    <cellStyle name="Good 2" xfId="51" xr:uid="{699CA2D1-EB32-4FAD-8F79-B924B4B73EBE}"/>
    <cellStyle name="Heading 1" xfId="31" builtinId="16" customBuiltin="1"/>
    <cellStyle name="Heading 1 2" xfId="47" xr:uid="{D1BBE5FA-2448-4D2D-889C-02777B8C9E3C}"/>
    <cellStyle name="Heading 2" xfId="32" builtinId="17" customBuiltin="1"/>
    <cellStyle name="Heading 2 2" xfId="48" xr:uid="{AEA17451-A44D-4D1B-BB46-A96FFF4CD27F}"/>
    <cellStyle name="Heading 3" xfId="33" builtinId="18" customBuiltin="1"/>
    <cellStyle name="Heading 3 2" xfId="49" xr:uid="{7DE82377-B29D-40D7-8E55-EED780414C61}"/>
    <cellStyle name="Heading 4" xfId="34" builtinId="19" customBuiltin="1"/>
    <cellStyle name="Heading 4 2" xfId="50" xr:uid="{2E84969D-AF3C-4296-ABAD-C3545AC9C5DE}"/>
    <cellStyle name="Input" xfId="35" builtinId="20" customBuiltin="1"/>
    <cellStyle name="Input 2" xfId="54" xr:uid="{B256BD47-1AD4-40A5-8F76-FCEF44DEA6FA}"/>
    <cellStyle name="Linked Cell" xfId="36" builtinId="24" customBuiltin="1"/>
    <cellStyle name="Linked Cell 2" xfId="57" xr:uid="{C1294034-BBC0-49FD-8FF0-7E06DA8EA62E}"/>
    <cellStyle name="Neutral" xfId="37" builtinId="28" customBuiltin="1"/>
    <cellStyle name="Neutral 2" xfId="53" xr:uid="{3AE7CA3E-6B45-48FF-92E5-79919CC4AE9F}"/>
    <cellStyle name="Normal" xfId="0" builtinId="0"/>
    <cellStyle name="Normal 2" xfId="44" xr:uid="{17F27C0F-A032-4272-BBFF-373A5964B8D2}"/>
    <cellStyle name="Normal 2 2" xfId="87" xr:uid="{67850B22-A3A1-4689-971C-F011A4D5C8E1}"/>
    <cellStyle name="Normal 3" xfId="88" xr:uid="{9D015D94-28DD-4378-A502-F868336B7A28}"/>
    <cellStyle name="Normal 3 2" xfId="89" xr:uid="{B3419A72-2C60-4D46-95E4-4617DA1F72F9}"/>
    <cellStyle name="Normal 4" xfId="90" xr:uid="{8A470DB5-B02C-4D17-BCCE-F09E751CB433}"/>
    <cellStyle name="Normal 5" xfId="43" xr:uid="{80788C12-B010-473D-8191-D1F988313DFC}"/>
    <cellStyle name="Note" xfId="38" builtinId="10" customBuiltin="1"/>
    <cellStyle name="Note 2" xfId="45" xr:uid="{002E3C32-354E-4532-AFBB-55D2AD29DAEE}"/>
    <cellStyle name="Note 2 2" xfId="91" xr:uid="{D3F307A4-F72F-4576-ABBC-95C9271A9818}"/>
    <cellStyle name="Output" xfId="39" builtinId="21" customBuiltin="1"/>
    <cellStyle name="Output 2" xfId="55" xr:uid="{20E9DED8-5AB0-41CF-9BFE-59358E0B5F4A}"/>
    <cellStyle name="Percent 2" xfId="86" xr:uid="{C0DB07A0-27D4-4592-A6AA-295AF8802B6B}"/>
    <cellStyle name="Title" xfId="40" builtinId="15" customBuiltin="1"/>
    <cellStyle name="Title 2" xfId="46" xr:uid="{B65D5EC2-16E1-4411-9BDB-8FFFD95856CE}"/>
    <cellStyle name="Total" xfId="41" builtinId="25" customBuiltin="1"/>
    <cellStyle name="Total 2" xfId="61" xr:uid="{ED5B89E6-F428-4956-80C3-706BDDB085DE}"/>
    <cellStyle name="Warning Text" xfId="42" builtinId="11" customBuiltin="1"/>
    <cellStyle name="Warning Text 2" xfId="59" xr:uid="{3FD10A50-FBDC-4865-A9FC-52DB1F01BB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51</xdr:row>
      <xdr:rowOff>28576</xdr:rowOff>
    </xdr:from>
    <xdr:to>
      <xdr:col>7</xdr:col>
      <xdr:colOff>478448</xdr:colOff>
      <xdr:row>51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A98B3B-9953-421A-B29F-3E58B17CC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10715626"/>
          <a:ext cx="316523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884602</xdr:colOff>
      <xdr:row>1</xdr:row>
      <xdr:rowOff>66675</xdr:rowOff>
    </xdr:from>
    <xdr:to>
      <xdr:col>9</xdr:col>
      <xdr:colOff>417723</xdr:colOff>
      <xdr:row>4</xdr:row>
      <xdr:rowOff>208984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38DAD0-DC23-45A4-8A3E-C808DCDFA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9002" y="276225"/>
          <a:ext cx="1876271" cy="7709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532825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DD7122-1302-45A7-9B36-FA7D6D9B9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74414" cy="6705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551875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51744E-1039-419E-8F4D-EC9EFD3CC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2984" cy="6591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551875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A7D8A-5105-4F91-AF6B-0B912902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6794" cy="6629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BFD2A-EAFD-4DAF-A35B-B8DB3E329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2984" cy="6591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E2633-DA2C-4623-851C-1E450A430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2984" cy="6591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551875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A40336-0491-4EDD-AC0D-FCE98DEB4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2984" cy="6591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551875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274503-13FC-4B6F-B374-B9338F6B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74414" cy="6705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F35D2A-D0F4-4C47-A8C2-2A0E314AD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6794" cy="6629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551875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8397F-BB56-4C17-9D95-2D6E6957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74414" cy="67058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517585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4587B-24E5-4DE6-B17F-E7BEE5AAD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6794" cy="662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481390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846D2-35F0-4868-9BCC-7DE8CEFC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1079" cy="6705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551875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FA664-B18E-4C20-9D1F-4976C2391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74414" cy="6705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551875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5CA62C-8C09-4E76-AA60-8C37E2B4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6794" cy="6629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486CAD-6C78-4D37-A06C-60D5E17A9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2984" cy="65915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1A9E7A-F5C0-48C3-BD4E-FEC132591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74414" cy="6705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9458F6-0EA5-4046-9CA5-C8D7A0133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2984" cy="65915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551875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BB0E1C-70D0-4803-887E-40857AC53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2984" cy="6591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5F3981-44A6-44EB-AD66-951FD56D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1079" cy="6705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9E717F-A0AB-443E-8F58-43EB4C9A8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6794" cy="6629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494725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E3BF19-329B-4CED-8102-C539C2C88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74414" cy="6705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22196D-14AB-4106-8F47-CFD07CF1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2984" cy="6591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6B0277-6C3B-45CD-9853-04F9284FA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6794" cy="6629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551875</xdr:colOff>
      <xdr:row>4</xdr:row>
      <xdr:rowOff>132784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05261-BBAC-4E48-8D69-A316E342B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74414" cy="6705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831001</xdr:colOff>
      <xdr:row>1</xdr:row>
      <xdr:rowOff>26078</xdr:rowOff>
    </xdr:from>
    <xdr:to>
      <xdr:col>9</xdr:col>
      <xdr:colOff>555685</xdr:colOff>
      <xdr:row>4</xdr:row>
      <xdr:rowOff>136594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3751B-17A1-4E1B-BEC2-50BBF9C51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5501" y="201338"/>
          <a:ext cx="1366794" cy="662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6"/>
  <sheetViews>
    <sheetView zoomScaleNormal="100" zoomScaleSheetLayoutView="100" workbookViewId="0">
      <selection activeCell="M41" sqref="M41"/>
    </sheetView>
  </sheetViews>
  <sheetFormatPr defaultRowHeight="13.2" x14ac:dyDescent="0.25"/>
  <cols>
    <col min="2" max="2" width="17.5546875" customWidth="1"/>
    <col min="3" max="3" width="11.88671875" customWidth="1"/>
    <col min="4" max="4" width="10.88671875" customWidth="1"/>
    <col min="5" max="5" width="12.33203125" customWidth="1"/>
    <col min="7" max="7" width="13.5546875" customWidth="1"/>
    <col min="9" max="9" width="12.44140625" customWidth="1"/>
  </cols>
  <sheetData>
    <row r="1" spans="1:10" ht="17.100000000000001" customHeight="1" thickTop="1" x14ac:dyDescent="0.25">
      <c r="A1" s="29" t="s">
        <v>44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17.100000000000001" customHeight="1" x14ac:dyDescent="0.25">
      <c r="A2" s="30" t="s">
        <v>115</v>
      </c>
      <c r="J2" s="19"/>
    </row>
    <row r="3" spans="1:10" ht="17.100000000000001" customHeight="1" x14ac:dyDescent="0.25">
      <c r="A3" s="30" t="s">
        <v>114</v>
      </c>
      <c r="J3" s="19"/>
    </row>
    <row r="4" spans="1:10" ht="17.100000000000001" customHeight="1" x14ac:dyDescent="0.25">
      <c r="A4" s="30" t="s">
        <v>113</v>
      </c>
      <c r="J4" s="19"/>
    </row>
    <row r="5" spans="1:10" ht="17.100000000000001" customHeight="1" x14ac:dyDescent="0.25">
      <c r="A5" s="31" t="s">
        <v>116</v>
      </c>
      <c r="J5" s="19"/>
    </row>
    <row r="6" spans="1:10" ht="17.100000000000001" customHeight="1" x14ac:dyDescent="0.25">
      <c r="A6" s="32" t="s">
        <v>45</v>
      </c>
      <c r="J6" s="19"/>
    </row>
    <row r="7" spans="1:10" ht="17.100000000000001" customHeight="1" x14ac:dyDescent="0.3">
      <c r="A7" s="138" t="s">
        <v>46</v>
      </c>
      <c r="B7" s="139"/>
      <c r="C7" s="139"/>
      <c r="D7" s="139"/>
      <c r="E7" s="139"/>
      <c r="F7" s="139"/>
      <c r="G7" s="139"/>
      <c r="H7" s="139"/>
      <c r="I7" s="139"/>
      <c r="J7" s="140"/>
    </row>
    <row r="8" spans="1:10" ht="17.100000000000001" customHeight="1" thickBot="1" x14ac:dyDescent="0.3">
      <c r="A8" s="21"/>
      <c r="B8" s="22"/>
      <c r="C8" s="22"/>
      <c r="D8" s="22"/>
      <c r="E8" s="22"/>
      <c r="F8" s="22"/>
      <c r="G8" s="22"/>
      <c r="H8" s="22"/>
      <c r="I8" s="22"/>
      <c r="J8" s="23"/>
    </row>
    <row r="9" spans="1:10" ht="17.100000000000001" customHeight="1" thickTop="1" x14ac:dyDescent="0.25"/>
    <row r="10" spans="1:10" ht="17.100000000000001" customHeight="1" x14ac:dyDescent="0.25">
      <c r="A10" s="141" t="s">
        <v>8</v>
      </c>
      <c r="B10" s="107"/>
      <c r="C10" s="148"/>
      <c r="D10" s="108"/>
      <c r="E10" s="141" t="s">
        <v>4</v>
      </c>
      <c r="F10" s="142"/>
      <c r="G10" s="143"/>
      <c r="H10" s="143"/>
      <c r="I10" s="143"/>
      <c r="J10" s="144"/>
    </row>
    <row r="11" spans="1:10" ht="17.100000000000001" customHeight="1" x14ac:dyDescent="0.25">
      <c r="A11" s="141"/>
      <c r="B11" s="109"/>
      <c r="C11" s="149"/>
      <c r="D11" s="110"/>
      <c r="E11" s="141"/>
      <c r="F11" s="145"/>
      <c r="G11" s="146"/>
      <c r="H11" s="146"/>
      <c r="I11" s="146"/>
      <c r="J11" s="147"/>
    </row>
    <row r="12" spans="1:10" ht="17.100000000000001" customHeight="1" x14ac:dyDescent="0.25">
      <c r="A12" s="111" t="s">
        <v>47</v>
      </c>
      <c r="B12" s="116"/>
      <c r="C12" s="111" t="s">
        <v>9</v>
      </c>
      <c r="D12" s="108"/>
      <c r="E12" s="111" t="s">
        <v>6</v>
      </c>
      <c r="F12" s="107"/>
      <c r="G12" s="108"/>
      <c r="H12" s="111" t="s">
        <v>48</v>
      </c>
      <c r="I12" s="107"/>
      <c r="J12" s="108"/>
    </row>
    <row r="13" spans="1:10" ht="17.100000000000001" customHeight="1" x14ac:dyDescent="0.25">
      <c r="A13" s="111"/>
      <c r="B13" s="109"/>
      <c r="C13" s="111"/>
      <c r="D13" s="110"/>
      <c r="E13" s="111"/>
      <c r="F13" s="109"/>
      <c r="G13" s="110"/>
      <c r="H13" s="111"/>
      <c r="I13" s="109"/>
      <c r="J13" s="110"/>
    </row>
    <row r="14" spans="1:10" ht="17.100000000000001" customHeight="1" x14ac:dyDescent="0.25">
      <c r="A14" s="33"/>
      <c r="B14" s="34"/>
      <c r="C14" s="33"/>
      <c r="D14" s="34"/>
      <c r="E14" s="33"/>
      <c r="F14" s="34"/>
      <c r="G14" s="34"/>
      <c r="H14" s="33"/>
      <c r="I14" s="34"/>
      <c r="J14" s="34"/>
    </row>
    <row r="15" spans="1:10" ht="17.100000000000001" customHeight="1" x14ac:dyDescent="0.25">
      <c r="A15" s="123" t="s">
        <v>67</v>
      </c>
      <c r="B15" s="123"/>
      <c r="C15" s="123"/>
      <c r="D15" s="123"/>
      <c r="E15" s="123"/>
      <c r="F15" s="123"/>
      <c r="G15" s="123"/>
      <c r="H15" s="123"/>
      <c r="I15" s="123"/>
      <c r="J15" s="123"/>
    </row>
    <row r="16" spans="1:10" ht="17.100000000000001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</row>
    <row r="17" spans="1:10" ht="17.100000000000001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</row>
    <row r="18" spans="1:10" ht="17.100000000000001" customHeight="1" x14ac:dyDescent="0.25">
      <c r="A18" s="117" t="s">
        <v>71</v>
      </c>
      <c r="B18" s="117"/>
      <c r="C18" s="117"/>
      <c r="D18" s="115" t="s">
        <v>73</v>
      </c>
      <c r="E18" s="115"/>
      <c r="F18" s="115" t="s">
        <v>74</v>
      </c>
      <c r="G18" s="115"/>
      <c r="H18" s="115" t="s">
        <v>93</v>
      </c>
      <c r="I18" s="115" t="s">
        <v>75</v>
      </c>
      <c r="J18" s="115"/>
    </row>
    <row r="19" spans="1:10" ht="17.100000000000001" customHeight="1" x14ac:dyDescent="0.25">
      <c r="A19" s="117"/>
      <c r="B19" s="117"/>
      <c r="C19" s="117"/>
      <c r="D19" s="115"/>
      <c r="E19" s="115"/>
      <c r="F19" s="115"/>
      <c r="G19" s="115"/>
      <c r="H19" s="115"/>
      <c r="I19" s="115"/>
      <c r="J19" s="115"/>
    </row>
    <row r="20" spans="1:10" ht="17.100000000000001" customHeight="1" x14ac:dyDescent="0.25">
      <c r="A20" s="113" t="s">
        <v>72</v>
      </c>
      <c r="B20" s="113"/>
      <c r="C20" s="113"/>
      <c r="D20" s="114">
        <f t="shared" ref="D20:D25" si="0">F43</f>
        <v>0</v>
      </c>
      <c r="E20" s="114"/>
      <c r="F20" s="114">
        <f>D48</f>
        <v>0</v>
      </c>
      <c r="G20" s="114"/>
      <c r="H20" s="37" t="s">
        <v>49</v>
      </c>
      <c r="I20" s="112" t="e">
        <f t="shared" ref="I20:I37" si="1">((D20/F20)*100)</f>
        <v>#DIV/0!</v>
      </c>
      <c r="J20" s="112"/>
    </row>
    <row r="21" spans="1:10" ht="17.100000000000001" customHeight="1" x14ac:dyDescent="0.25">
      <c r="A21" s="113" t="s">
        <v>76</v>
      </c>
      <c r="B21" s="113"/>
      <c r="C21" s="113"/>
      <c r="D21" s="114">
        <f t="shared" si="0"/>
        <v>0</v>
      </c>
      <c r="E21" s="114"/>
      <c r="F21" s="114">
        <f>D48</f>
        <v>0</v>
      </c>
      <c r="G21" s="114"/>
      <c r="H21" s="37" t="s">
        <v>50</v>
      </c>
      <c r="I21" s="112" t="e">
        <f t="shared" si="1"/>
        <v>#DIV/0!</v>
      </c>
      <c r="J21" s="112"/>
    </row>
    <row r="22" spans="1:10" ht="17.100000000000001" customHeight="1" x14ac:dyDescent="0.25">
      <c r="A22" s="113" t="s">
        <v>77</v>
      </c>
      <c r="B22" s="113"/>
      <c r="C22" s="113"/>
      <c r="D22" s="114">
        <f t="shared" si="0"/>
        <v>2</v>
      </c>
      <c r="E22" s="114"/>
      <c r="F22" s="114">
        <f>D48</f>
        <v>0</v>
      </c>
      <c r="G22" s="114"/>
      <c r="H22" s="37" t="s">
        <v>51</v>
      </c>
      <c r="I22" s="112" t="e">
        <f t="shared" si="1"/>
        <v>#DIV/0!</v>
      </c>
      <c r="J22" s="112"/>
    </row>
    <row r="23" spans="1:10" ht="17.100000000000001" customHeight="1" x14ac:dyDescent="0.25">
      <c r="A23" s="113" t="s">
        <v>78</v>
      </c>
      <c r="B23" s="113"/>
      <c r="C23" s="113"/>
      <c r="D23" s="114">
        <f t="shared" si="0"/>
        <v>1</v>
      </c>
      <c r="E23" s="114"/>
      <c r="F23" s="114">
        <f>D48</f>
        <v>0</v>
      </c>
      <c r="G23" s="114"/>
      <c r="H23" s="37" t="s">
        <v>52</v>
      </c>
      <c r="I23" s="112" t="e">
        <f t="shared" si="1"/>
        <v>#DIV/0!</v>
      </c>
      <c r="J23" s="112"/>
    </row>
    <row r="24" spans="1:10" ht="17.100000000000001" customHeight="1" x14ac:dyDescent="0.25">
      <c r="A24" s="113" t="s">
        <v>79</v>
      </c>
      <c r="B24" s="113"/>
      <c r="C24" s="113"/>
      <c r="D24" s="114">
        <f t="shared" si="0"/>
        <v>0</v>
      </c>
      <c r="E24" s="114"/>
      <c r="F24" s="114">
        <f>D48</f>
        <v>0</v>
      </c>
      <c r="G24" s="114"/>
      <c r="H24" s="37" t="s">
        <v>53</v>
      </c>
      <c r="I24" s="112" t="e">
        <f t="shared" si="1"/>
        <v>#DIV/0!</v>
      </c>
      <c r="J24" s="112"/>
    </row>
    <row r="25" spans="1:10" ht="17.100000000000001" customHeight="1" x14ac:dyDescent="0.25">
      <c r="A25" s="113" t="s">
        <v>80</v>
      </c>
      <c r="B25" s="113"/>
      <c r="C25" s="113"/>
      <c r="D25" s="114">
        <f t="shared" si="0"/>
        <v>0</v>
      </c>
      <c r="E25" s="114"/>
      <c r="F25" s="114">
        <f>D48</f>
        <v>0</v>
      </c>
      <c r="G25" s="114"/>
      <c r="H25" s="37" t="s">
        <v>54</v>
      </c>
      <c r="I25" s="112" t="e">
        <f t="shared" si="1"/>
        <v>#DIV/0!</v>
      </c>
      <c r="J25" s="112"/>
    </row>
    <row r="26" spans="1:10" ht="17.100000000000001" customHeight="1" x14ac:dyDescent="0.25">
      <c r="A26" s="113" t="s">
        <v>81</v>
      </c>
      <c r="B26" s="113"/>
      <c r="C26" s="113"/>
      <c r="D26" s="114">
        <f t="shared" ref="D26:D31" si="2">H43</f>
        <v>0</v>
      </c>
      <c r="E26" s="114"/>
      <c r="F26" s="114">
        <f>D48</f>
        <v>0</v>
      </c>
      <c r="G26" s="114"/>
      <c r="H26" s="37" t="s">
        <v>55</v>
      </c>
      <c r="I26" s="112" t="e">
        <f t="shared" si="1"/>
        <v>#DIV/0!</v>
      </c>
      <c r="J26" s="112"/>
    </row>
    <row r="27" spans="1:10" ht="17.100000000000001" customHeight="1" x14ac:dyDescent="0.25">
      <c r="A27" s="113" t="s">
        <v>82</v>
      </c>
      <c r="B27" s="113"/>
      <c r="C27" s="113"/>
      <c r="D27" s="114">
        <f t="shared" si="2"/>
        <v>0</v>
      </c>
      <c r="E27" s="114"/>
      <c r="F27" s="114">
        <f>D48</f>
        <v>0</v>
      </c>
      <c r="G27" s="114"/>
      <c r="H27" s="37" t="s">
        <v>56</v>
      </c>
      <c r="I27" s="112" t="e">
        <f t="shared" si="1"/>
        <v>#DIV/0!</v>
      </c>
      <c r="J27" s="112"/>
    </row>
    <row r="28" spans="1:10" ht="17.100000000000001" customHeight="1" x14ac:dyDescent="0.25">
      <c r="A28" s="113" t="s">
        <v>83</v>
      </c>
      <c r="B28" s="113"/>
      <c r="C28" s="113"/>
      <c r="D28" s="114">
        <f t="shared" si="2"/>
        <v>0</v>
      </c>
      <c r="E28" s="114"/>
      <c r="F28" s="114">
        <f>D48</f>
        <v>0</v>
      </c>
      <c r="G28" s="114"/>
      <c r="H28" s="37" t="s">
        <v>57</v>
      </c>
      <c r="I28" s="112" t="e">
        <f t="shared" si="1"/>
        <v>#DIV/0!</v>
      </c>
      <c r="J28" s="112"/>
    </row>
    <row r="29" spans="1:10" ht="17.100000000000001" customHeight="1" x14ac:dyDescent="0.25">
      <c r="A29" s="113" t="s">
        <v>84</v>
      </c>
      <c r="B29" s="113"/>
      <c r="C29" s="113"/>
      <c r="D29" s="114">
        <f t="shared" si="2"/>
        <v>0</v>
      </c>
      <c r="E29" s="114"/>
      <c r="F29" s="114">
        <f>D48</f>
        <v>0</v>
      </c>
      <c r="G29" s="114"/>
      <c r="H29" s="37" t="s">
        <v>58</v>
      </c>
      <c r="I29" s="112" t="e">
        <f t="shared" si="1"/>
        <v>#DIV/0!</v>
      </c>
      <c r="J29" s="112"/>
    </row>
    <row r="30" spans="1:10" ht="17.100000000000001" customHeight="1" x14ac:dyDescent="0.25">
      <c r="A30" s="113" t="s">
        <v>85</v>
      </c>
      <c r="B30" s="113"/>
      <c r="C30" s="113"/>
      <c r="D30" s="114">
        <f t="shared" si="2"/>
        <v>0</v>
      </c>
      <c r="E30" s="114"/>
      <c r="F30" s="114">
        <f>D48</f>
        <v>0</v>
      </c>
      <c r="G30" s="114"/>
      <c r="H30" s="37" t="s">
        <v>59</v>
      </c>
      <c r="I30" s="112" t="e">
        <f t="shared" si="1"/>
        <v>#DIV/0!</v>
      </c>
      <c r="J30" s="112"/>
    </row>
    <row r="31" spans="1:10" ht="17.100000000000001" customHeight="1" x14ac:dyDescent="0.25">
      <c r="A31" s="113" t="s">
        <v>86</v>
      </c>
      <c r="B31" s="113"/>
      <c r="C31" s="113"/>
      <c r="D31" s="114">
        <f t="shared" si="2"/>
        <v>0</v>
      </c>
      <c r="E31" s="114"/>
      <c r="F31" s="114">
        <f>D48</f>
        <v>0</v>
      </c>
      <c r="G31" s="114"/>
      <c r="H31" s="37" t="s">
        <v>60</v>
      </c>
      <c r="I31" s="112" t="e">
        <f t="shared" si="1"/>
        <v>#DIV/0!</v>
      </c>
      <c r="J31" s="112"/>
    </row>
    <row r="32" spans="1:10" ht="17.100000000000001" customHeight="1" x14ac:dyDescent="0.25">
      <c r="A32" s="113" t="s">
        <v>87</v>
      </c>
      <c r="B32" s="113"/>
      <c r="C32" s="113"/>
      <c r="D32" s="114">
        <f t="shared" ref="D32:D37" si="3">J43</f>
        <v>0</v>
      </c>
      <c r="E32" s="114"/>
      <c r="F32" s="114">
        <f>D48</f>
        <v>0</v>
      </c>
      <c r="G32" s="114"/>
      <c r="H32" s="37" t="s">
        <v>61</v>
      </c>
      <c r="I32" s="112" t="e">
        <f t="shared" si="1"/>
        <v>#DIV/0!</v>
      </c>
      <c r="J32" s="112"/>
    </row>
    <row r="33" spans="1:13" ht="17.100000000000001" customHeight="1" x14ac:dyDescent="0.25">
      <c r="A33" s="113" t="s">
        <v>88</v>
      </c>
      <c r="B33" s="113"/>
      <c r="C33" s="113"/>
      <c r="D33" s="114">
        <f t="shared" si="3"/>
        <v>0</v>
      </c>
      <c r="E33" s="114"/>
      <c r="F33" s="114">
        <f>D48</f>
        <v>0</v>
      </c>
      <c r="G33" s="114"/>
      <c r="H33" s="37" t="s">
        <v>62</v>
      </c>
      <c r="I33" s="112" t="e">
        <f t="shared" si="1"/>
        <v>#DIV/0!</v>
      </c>
      <c r="J33" s="112"/>
    </row>
    <row r="34" spans="1:13" ht="17.100000000000001" customHeight="1" x14ac:dyDescent="0.25">
      <c r="A34" s="113" t="s">
        <v>89</v>
      </c>
      <c r="B34" s="113"/>
      <c r="C34" s="113"/>
      <c r="D34" s="114">
        <f t="shared" si="3"/>
        <v>0</v>
      </c>
      <c r="E34" s="114"/>
      <c r="F34" s="114">
        <f>D48</f>
        <v>0</v>
      </c>
      <c r="G34" s="114"/>
      <c r="H34" s="37" t="s">
        <v>63</v>
      </c>
      <c r="I34" s="112" t="e">
        <f t="shared" si="1"/>
        <v>#DIV/0!</v>
      </c>
      <c r="J34" s="112"/>
    </row>
    <row r="35" spans="1:13" ht="17.100000000000001" customHeight="1" x14ac:dyDescent="0.25">
      <c r="A35" s="113" t="s">
        <v>90</v>
      </c>
      <c r="B35" s="113"/>
      <c r="C35" s="113"/>
      <c r="D35" s="114">
        <f t="shared" si="3"/>
        <v>0</v>
      </c>
      <c r="E35" s="114"/>
      <c r="F35" s="114">
        <f>D48</f>
        <v>0</v>
      </c>
      <c r="G35" s="114"/>
      <c r="H35" s="37" t="s">
        <v>64</v>
      </c>
      <c r="I35" s="112" t="e">
        <f t="shared" si="1"/>
        <v>#DIV/0!</v>
      </c>
      <c r="J35" s="112"/>
    </row>
    <row r="36" spans="1:13" ht="17.100000000000001" customHeight="1" x14ac:dyDescent="0.25">
      <c r="A36" s="113" t="s">
        <v>91</v>
      </c>
      <c r="B36" s="113"/>
      <c r="C36" s="113"/>
      <c r="D36" s="114">
        <f t="shared" si="3"/>
        <v>0</v>
      </c>
      <c r="E36" s="114"/>
      <c r="F36" s="114">
        <f>D48</f>
        <v>0</v>
      </c>
      <c r="G36" s="114"/>
      <c r="H36" s="37" t="s">
        <v>65</v>
      </c>
      <c r="I36" s="112" t="e">
        <f t="shared" si="1"/>
        <v>#DIV/0!</v>
      </c>
      <c r="J36" s="112"/>
    </row>
    <row r="37" spans="1:13" ht="17.100000000000001" customHeight="1" x14ac:dyDescent="0.25">
      <c r="A37" s="113" t="s">
        <v>92</v>
      </c>
      <c r="B37" s="113"/>
      <c r="C37" s="113"/>
      <c r="D37" s="114">
        <f t="shared" si="3"/>
        <v>0</v>
      </c>
      <c r="E37" s="114"/>
      <c r="F37" s="114">
        <f>D48</f>
        <v>0</v>
      </c>
      <c r="G37" s="114"/>
      <c r="H37" s="37" t="s">
        <v>66</v>
      </c>
      <c r="I37" s="112" t="e">
        <f t="shared" si="1"/>
        <v>#DIV/0!</v>
      </c>
      <c r="J37" s="112"/>
    </row>
    <row r="38" spans="1:13" ht="17.100000000000001" customHeight="1" x14ac:dyDescent="0.25">
      <c r="A38" s="36"/>
      <c r="B38" s="36"/>
      <c r="C38" s="36"/>
      <c r="D38" s="43"/>
      <c r="E38" s="43"/>
      <c r="F38" s="43"/>
      <c r="G38" s="43"/>
      <c r="H38" s="37"/>
      <c r="I38" s="44"/>
      <c r="J38" s="44"/>
    </row>
    <row r="39" spans="1:13" ht="17.100000000000001" customHeight="1" x14ac:dyDescent="0.25">
      <c r="A39" s="36"/>
      <c r="B39" s="28"/>
      <c r="C39" s="28"/>
      <c r="F39" s="28"/>
      <c r="G39" s="28"/>
      <c r="H39" s="28"/>
      <c r="I39" s="28"/>
      <c r="J39" s="28"/>
    </row>
    <row r="40" spans="1:13" ht="17.100000000000001" customHeight="1" x14ac:dyDescent="0.25">
      <c r="B40" s="28"/>
      <c r="C40" s="28"/>
      <c r="D40" s="28"/>
      <c r="E40" s="28"/>
      <c r="G40" s="51"/>
      <c r="H40" s="28"/>
      <c r="I40" s="134"/>
      <c r="J40" s="135"/>
    </row>
    <row r="41" spans="1:13" ht="17.100000000000001" customHeight="1" x14ac:dyDescent="0.25">
      <c r="A41" s="36"/>
      <c r="B41" s="28"/>
      <c r="C41" s="28"/>
      <c r="D41" s="48" t="s">
        <v>95</v>
      </c>
      <c r="E41" s="28"/>
      <c r="F41" s="28"/>
      <c r="G41" s="28"/>
      <c r="H41" s="28"/>
      <c r="I41" s="118" t="e">
        <f>((I20*0.074)+(I21*0.037)+(I22*0.074)+(I23*0.037)+(I24*0.074)+(I25*0.037)+(I26*0.083)+(I27*0.055)+(I28*0.028)+(I29*0.074)+(I30*0.037)+(I31*0.055)+(I32*0.074)+(I33*0.037)+(I34*0.056)+(I35*0.056)+(I36*0.056)+(I37*0.056))</f>
        <v>#DIV/0!</v>
      </c>
      <c r="J41" s="119"/>
    </row>
    <row r="42" spans="1:13" ht="17.100000000000001" customHeight="1" thickBot="1" x14ac:dyDescent="0.3">
      <c r="A42" s="36"/>
      <c r="B42" s="28"/>
      <c r="C42" s="28"/>
      <c r="D42" s="28"/>
      <c r="E42" s="28"/>
      <c r="F42" s="28"/>
      <c r="G42" s="28"/>
      <c r="H42" s="28"/>
      <c r="I42" s="41"/>
      <c r="J42" s="42"/>
    </row>
    <row r="43" spans="1:13" ht="17.100000000000001" customHeight="1" thickTop="1" x14ac:dyDescent="0.25">
      <c r="A43" s="45" t="s">
        <v>17</v>
      </c>
      <c r="B43" s="12" t="s">
        <v>68</v>
      </c>
      <c r="C43" s="12" t="s">
        <v>69</v>
      </c>
      <c r="D43" s="13" t="s">
        <v>117</v>
      </c>
      <c r="E43" s="10" t="s">
        <v>26</v>
      </c>
      <c r="F43" s="50">
        <v>0</v>
      </c>
      <c r="G43" s="10" t="s">
        <v>40</v>
      </c>
      <c r="H43" s="50">
        <v>0</v>
      </c>
      <c r="I43" s="10" t="s">
        <v>34</v>
      </c>
      <c r="J43" s="52">
        <v>0</v>
      </c>
    </row>
    <row r="44" spans="1:13" ht="17.100000000000001" customHeight="1" x14ac:dyDescent="0.25">
      <c r="A44" s="46" t="s">
        <v>20</v>
      </c>
      <c r="B44" s="35">
        <v>3</v>
      </c>
      <c r="C44" s="35">
        <v>0</v>
      </c>
      <c r="D44" s="49">
        <f>SUM(B44*C44)</f>
        <v>0</v>
      </c>
      <c r="E44" s="4" t="s">
        <v>27</v>
      </c>
      <c r="F44" s="7">
        <v>0</v>
      </c>
      <c r="G44" s="4" t="s">
        <v>32</v>
      </c>
      <c r="H44" s="7">
        <v>0</v>
      </c>
      <c r="I44" s="4" t="s">
        <v>35</v>
      </c>
      <c r="J44" s="53">
        <v>0</v>
      </c>
    </row>
    <row r="45" spans="1:13" ht="17.100000000000001" customHeight="1" x14ac:dyDescent="0.25">
      <c r="A45" s="46" t="s">
        <v>21</v>
      </c>
      <c r="B45" s="35">
        <v>3.65</v>
      </c>
      <c r="C45" s="35">
        <v>0</v>
      </c>
      <c r="D45" s="49">
        <f>SUM(B45*C45)</f>
        <v>0</v>
      </c>
      <c r="E45" s="11" t="s">
        <v>28</v>
      </c>
      <c r="F45" s="7">
        <v>2</v>
      </c>
      <c r="G45" s="4" t="s">
        <v>41</v>
      </c>
      <c r="H45" s="7">
        <v>0</v>
      </c>
      <c r="I45" s="4" t="s">
        <v>36</v>
      </c>
      <c r="J45" s="53">
        <v>0</v>
      </c>
    </row>
    <row r="46" spans="1:13" ht="17.100000000000001" customHeight="1" x14ac:dyDescent="0.25">
      <c r="A46" s="46" t="s">
        <v>22</v>
      </c>
      <c r="B46" s="35">
        <v>3.65</v>
      </c>
      <c r="C46" s="35">
        <v>0</v>
      </c>
      <c r="D46" s="49">
        <f>SUM(B46*C46)</f>
        <v>0</v>
      </c>
      <c r="E46" s="11" t="s">
        <v>29</v>
      </c>
      <c r="F46" s="7">
        <v>1</v>
      </c>
      <c r="G46" s="14" t="s">
        <v>42</v>
      </c>
      <c r="H46" s="7">
        <v>0</v>
      </c>
      <c r="I46" s="14" t="s">
        <v>37</v>
      </c>
      <c r="J46" s="53">
        <v>0</v>
      </c>
      <c r="M46" s="1"/>
    </row>
    <row r="47" spans="1:13" ht="17.100000000000001" customHeight="1" x14ac:dyDescent="0.25">
      <c r="A47" s="46" t="s">
        <v>23</v>
      </c>
      <c r="B47" s="35">
        <v>3.65</v>
      </c>
      <c r="C47" s="35">
        <v>0</v>
      </c>
      <c r="D47" s="49">
        <f>SUM(B47*C47)</f>
        <v>0</v>
      </c>
      <c r="E47" s="11" t="s">
        <v>30</v>
      </c>
      <c r="F47" s="7">
        <v>0</v>
      </c>
      <c r="G47" s="14" t="s">
        <v>43</v>
      </c>
      <c r="H47" s="7">
        <v>0</v>
      </c>
      <c r="I47" s="14" t="s">
        <v>38</v>
      </c>
      <c r="J47" s="53">
        <v>0</v>
      </c>
      <c r="L47" s="1"/>
    </row>
    <row r="48" spans="1:13" ht="17.100000000000001" customHeight="1" thickBot="1" x14ac:dyDescent="0.3">
      <c r="A48" s="47" t="s">
        <v>70</v>
      </c>
      <c r="B48" s="55">
        <f>SUM(B44:B47)</f>
        <v>13.950000000000001</v>
      </c>
      <c r="C48" s="55">
        <f>SUM(C44:C47)</f>
        <v>0</v>
      </c>
      <c r="D48" s="56">
        <f>SUM(D44:D47)</f>
        <v>0</v>
      </c>
      <c r="E48" s="8" t="s">
        <v>31</v>
      </c>
      <c r="F48" s="9">
        <v>0</v>
      </c>
      <c r="G48" s="8" t="s">
        <v>33</v>
      </c>
      <c r="H48" s="9">
        <v>0</v>
      </c>
      <c r="I48" s="9" t="s">
        <v>39</v>
      </c>
      <c r="J48" s="54">
        <v>0</v>
      </c>
    </row>
    <row r="49" spans="1:10" ht="17.100000000000001" customHeight="1" thickTop="1" thickBot="1" x14ac:dyDescent="0.3">
      <c r="A49" s="28"/>
      <c r="B49" s="28"/>
      <c r="C49" s="28"/>
      <c r="D49" s="28"/>
      <c r="E49" s="28"/>
      <c r="F49" s="51"/>
      <c r="G49" s="28"/>
      <c r="H49" s="28"/>
      <c r="I49" s="28"/>
      <c r="J49" s="28"/>
    </row>
    <row r="50" spans="1:10" ht="17.100000000000001" customHeight="1" thickTop="1" x14ac:dyDescent="0.25">
      <c r="A50" s="128" t="s">
        <v>94</v>
      </c>
      <c r="B50" s="129"/>
      <c r="C50" s="129"/>
      <c r="D50" s="129"/>
      <c r="E50" s="136" t="s">
        <v>98</v>
      </c>
      <c r="F50" s="121"/>
      <c r="G50" s="137"/>
      <c r="H50" s="120"/>
      <c r="I50" s="121"/>
      <c r="J50" s="122"/>
    </row>
    <row r="51" spans="1:10" ht="17.100000000000001" customHeight="1" x14ac:dyDescent="0.25">
      <c r="A51" s="130"/>
      <c r="B51" s="131"/>
      <c r="C51" s="131"/>
      <c r="D51" s="131"/>
      <c r="E51" s="124" t="s">
        <v>97</v>
      </c>
      <c r="F51" s="125"/>
      <c r="G51" s="127"/>
      <c r="H51" s="124" t="s">
        <v>118</v>
      </c>
      <c r="I51" s="125"/>
      <c r="J51" s="126"/>
    </row>
    <row r="52" spans="1:10" ht="17.100000000000001" customHeight="1" thickBot="1" x14ac:dyDescent="0.3">
      <c r="A52" s="132"/>
      <c r="B52" s="133"/>
      <c r="C52" s="133"/>
      <c r="D52" s="133"/>
      <c r="E52" s="150" t="s">
        <v>96</v>
      </c>
      <c r="F52" s="151"/>
      <c r="G52" s="152"/>
      <c r="H52" s="38"/>
      <c r="I52" s="38"/>
      <c r="J52" s="39"/>
    </row>
    <row r="53" spans="1:10" ht="17.100000000000001" customHeight="1" thickTop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</row>
    <row r="54" spans="1:10" ht="17.100000000000001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</row>
    <row r="55" spans="1:10" ht="17.100000000000001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</row>
    <row r="56" spans="1:10" ht="17.100000000000001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</row>
    <row r="57" spans="1:10" ht="17.100000000000001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 spans="1:10" ht="17.100000000000001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 spans="1:10" ht="17.100000000000001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 spans="1:10" ht="17.100000000000001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 spans="1:10" ht="17.100000000000001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</row>
    <row r="62" spans="1:10" ht="17.100000000000001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 spans="1:10" ht="17.100000000000001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</row>
    <row r="64" spans="1:10" ht="17.100000000000001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</row>
    <row r="65" spans="1:10" ht="17.100000000000001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</row>
    <row r="66" spans="1:10" ht="16.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</row>
    <row r="67" spans="1:10" ht="17.100000000000001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</row>
    <row r="68" spans="1:10" ht="17.100000000000001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 spans="1:10" ht="17.100000000000001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 ht="17.100000000000001" customHeight="1" x14ac:dyDescent="0.25"/>
    <row r="71" spans="1:10" ht="17.100000000000001" customHeight="1" x14ac:dyDescent="0.25"/>
    <row r="72" spans="1:10" ht="17.100000000000001" customHeight="1" x14ac:dyDescent="0.25"/>
    <row r="73" spans="1:10" ht="15" customHeight="1" x14ac:dyDescent="0.25"/>
    <row r="74" spans="1:10" ht="15" customHeight="1" x14ac:dyDescent="0.25"/>
    <row r="75" spans="1:10" ht="15" customHeight="1" x14ac:dyDescent="0.25"/>
    <row r="76" spans="1:10" ht="15" customHeight="1" x14ac:dyDescent="0.25"/>
  </sheetData>
  <mergeCells count="99">
    <mergeCell ref="A36:C36"/>
    <mergeCell ref="A34:C34"/>
    <mergeCell ref="A35:C35"/>
    <mergeCell ref="E52:G52"/>
    <mergeCell ref="D36:E36"/>
    <mergeCell ref="A7:J7"/>
    <mergeCell ref="I12:J13"/>
    <mergeCell ref="A24:C24"/>
    <mergeCell ref="A26:C26"/>
    <mergeCell ref="D20:E20"/>
    <mergeCell ref="E10:E11"/>
    <mergeCell ref="E12:E13"/>
    <mergeCell ref="F10:J11"/>
    <mergeCell ref="D12:D13"/>
    <mergeCell ref="B10:D11"/>
    <mergeCell ref="A10:A11"/>
    <mergeCell ref="H12:H13"/>
    <mergeCell ref="I26:J26"/>
    <mergeCell ref="D24:E24"/>
    <mergeCell ref="I24:J24"/>
    <mergeCell ref="D23:E23"/>
    <mergeCell ref="H51:J51"/>
    <mergeCell ref="F25:G25"/>
    <mergeCell ref="D33:E33"/>
    <mergeCell ref="E51:G51"/>
    <mergeCell ref="I18:J19"/>
    <mergeCell ref="F31:G31"/>
    <mergeCell ref="F29:G29"/>
    <mergeCell ref="I22:J22"/>
    <mergeCell ref="F18:G19"/>
    <mergeCell ref="A50:D52"/>
    <mergeCell ref="I40:J40"/>
    <mergeCell ref="F34:G34"/>
    <mergeCell ref="E50:G50"/>
    <mergeCell ref="I29:J29"/>
    <mergeCell ref="D35:E35"/>
    <mergeCell ref="I34:J34"/>
    <mergeCell ref="A15:J15"/>
    <mergeCell ref="D29:E29"/>
    <mergeCell ref="A32:C32"/>
    <mergeCell ref="I25:J25"/>
    <mergeCell ref="A29:C29"/>
    <mergeCell ref="A23:C23"/>
    <mergeCell ref="A22:C22"/>
    <mergeCell ref="A21:C21"/>
    <mergeCell ref="F23:G23"/>
    <mergeCell ref="F27:G27"/>
    <mergeCell ref="F26:G26"/>
    <mergeCell ref="D21:E21"/>
    <mergeCell ref="I21:J21"/>
    <mergeCell ref="D26:E26"/>
    <mergeCell ref="F28:G28"/>
    <mergeCell ref="I30:J30"/>
    <mergeCell ref="A27:C27"/>
    <mergeCell ref="I32:J32"/>
    <mergeCell ref="F30:G30"/>
    <mergeCell ref="D27:E27"/>
    <mergeCell ref="D28:E28"/>
    <mergeCell ref="F32:G32"/>
    <mergeCell ref="I31:J31"/>
    <mergeCell ref="H50:J50"/>
    <mergeCell ref="D31:E31"/>
    <mergeCell ref="A37:C37"/>
    <mergeCell ref="I28:J28"/>
    <mergeCell ref="F37:G37"/>
    <mergeCell ref="A30:C30"/>
    <mergeCell ref="F36:G36"/>
    <mergeCell ref="A28:C28"/>
    <mergeCell ref="D32:E32"/>
    <mergeCell ref="A33:C33"/>
    <mergeCell ref="D37:E37"/>
    <mergeCell ref="I33:J33"/>
    <mergeCell ref="D34:E34"/>
    <mergeCell ref="F35:G35"/>
    <mergeCell ref="I36:J36"/>
    <mergeCell ref="I37:J37"/>
    <mergeCell ref="F24:G24"/>
    <mergeCell ref="D22:E22"/>
    <mergeCell ref="F21:G21"/>
    <mergeCell ref="D30:E30"/>
    <mergeCell ref="I41:J41"/>
    <mergeCell ref="I27:J27"/>
    <mergeCell ref="F33:G33"/>
    <mergeCell ref="F12:G13"/>
    <mergeCell ref="C12:C13"/>
    <mergeCell ref="I35:J35"/>
    <mergeCell ref="A25:C25"/>
    <mergeCell ref="F22:G22"/>
    <mergeCell ref="A20:C20"/>
    <mergeCell ref="D18:E19"/>
    <mergeCell ref="I20:J20"/>
    <mergeCell ref="H18:H19"/>
    <mergeCell ref="F20:G20"/>
    <mergeCell ref="B12:B13"/>
    <mergeCell ref="A31:C31"/>
    <mergeCell ref="A12:A13"/>
    <mergeCell ref="A18:C19"/>
    <mergeCell ref="D25:E25"/>
    <mergeCell ref="I23:J23"/>
  </mergeCells>
  <printOptions horizontalCentered="1" verticalCentered="1"/>
  <pageMargins left="0.59055118110236227" right="0.59055118110236227" top="0" bottom="0" header="0" footer="0"/>
  <pageSetup paperSize="9" scale="78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EB7C-95AA-4992-BD93-946BBC1951D2}">
  <sheetPr>
    <pageSetUpPr fitToPage="1"/>
  </sheetPr>
  <dimension ref="A1:W71"/>
  <sheetViews>
    <sheetView topLeftCell="A3" zoomScaleNormal="100" workbookViewId="0">
      <selection activeCell="I21" sqref="I21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66406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173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191</v>
      </c>
      <c r="M9">
        <v>810</v>
      </c>
      <c r="O9">
        <f>1119-810</f>
        <v>309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192</v>
      </c>
      <c r="M10">
        <v>1119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190</v>
      </c>
      <c r="G11" s="143"/>
      <c r="H11" s="178"/>
      <c r="I11" s="180" t="s">
        <v>327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365</v>
      </c>
      <c r="H14" s="79" t="s">
        <v>367</v>
      </c>
      <c r="I14" s="177" t="s">
        <v>250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366</v>
      </c>
      <c r="H15" s="79" t="s">
        <v>368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72">
        <v>0</v>
      </c>
      <c r="C18" s="72">
        <v>135</v>
      </c>
      <c r="D18" s="72">
        <f>C18-B18</f>
        <v>135</v>
      </c>
      <c r="E18" s="35">
        <v>3.65</v>
      </c>
      <c r="F18" s="35">
        <f t="shared" ref="F18:F38" si="0">E18*D18</f>
        <v>492.75</v>
      </c>
      <c r="G18" s="89" t="s">
        <v>110</v>
      </c>
      <c r="H18" s="35"/>
      <c r="I18" s="35" t="s">
        <v>105</v>
      </c>
      <c r="J18" s="64">
        <v>55</v>
      </c>
      <c r="K18" s="81">
        <f>B18-810</f>
        <v>-810</v>
      </c>
      <c r="L18" s="81">
        <f>C18-810</f>
        <v>-675</v>
      </c>
      <c r="O18" s="60" t="s">
        <v>119</v>
      </c>
      <c r="R18" s="59">
        <v>1</v>
      </c>
    </row>
    <row r="19" spans="1:18" ht="17.100000000000001" customHeight="1" x14ac:dyDescent="0.25">
      <c r="A19" s="78" t="s">
        <v>268</v>
      </c>
      <c r="B19" s="80">
        <v>0</v>
      </c>
      <c r="C19" s="80">
        <v>303</v>
      </c>
      <c r="D19" s="72">
        <f>C19-B19</f>
        <v>303</v>
      </c>
      <c r="E19" s="35">
        <v>3.65</v>
      </c>
      <c r="F19" s="35">
        <f t="shared" ref="F19:F32" si="1">E19*D19</f>
        <v>1105.95</v>
      </c>
      <c r="G19" s="89" t="s">
        <v>110</v>
      </c>
      <c r="H19" s="89"/>
      <c r="I19" s="64" t="s">
        <v>105</v>
      </c>
      <c r="J19" s="64"/>
      <c r="K19" s="81">
        <f t="shared" ref="K19:L43" si="2">B19-810</f>
        <v>-810</v>
      </c>
      <c r="L19" s="81">
        <f t="shared" si="2"/>
        <v>-507</v>
      </c>
      <c r="O19" s="60" t="s">
        <v>120</v>
      </c>
      <c r="R19" s="59">
        <v>2</v>
      </c>
    </row>
    <row r="20" spans="1:18" ht="17.100000000000001" customHeight="1" x14ac:dyDescent="0.25">
      <c r="A20" s="105" t="s">
        <v>21</v>
      </c>
      <c r="B20" s="80">
        <v>0</v>
      </c>
      <c r="C20" s="80">
        <v>14</v>
      </c>
      <c r="D20" s="72">
        <f>C20-B20</f>
        <v>14</v>
      </c>
      <c r="E20" s="35">
        <v>3</v>
      </c>
      <c r="F20" s="35">
        <f t="shared" si="1"/>
        <v>42</v>
      </c>
      <c r="G20" s="89" t="s">
        <v>122</v>
      </c>
      <c r="H20" s="89">
        <v>2</v>
      </c>
      <c r="I20" s="64" t="s">
        <v>99</v>
      </c>
      <c r="J20" s="64">
        <v>56</v>
      </c>
      <c r="K20" s="81">
        <f t="shared" si="2"/>
        <v>-810</v>
      </c>
      <c r="L20" s="81">
        <f t="shared" si="2"/>
        <v>-796</v>
      </c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17</v>
      </c>
      <c r="C21" s="80">
        <v>25</v>
      </c>
      <c r="D21" s="72">
        <f>C21-B21</f>
        <v>8</v>
      </c>
      <c r="E21" s="35">
        <v>0.5</v>
      </c>
      <c r="F21" s="35">
        <f t="shared" si="1"/>
        <v>4</v>
      </c>
      <c r="G21" s="89" t="s">
        <v>156</v>
      </c>
      <c r="H21" s="89" t="s">
        <v>278</v>
      </c>
      <c r="I21" s="64" t="s">
        <v>102</v>
      </c>
      <c r="J21" s="64">
        <v>57</v>
      </c>
      <c r="K21" s="81">
        <f t="shared" si="2"/>
        <v>-793</v>
      </c>
      <c r="L21" s="81">
        <f t="shared" si="2"/>
        <v>-785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</v>
      </c>
      <c r="B22" s="80">
        <v>41</v>
      </c>
      <c r="C22" s="80"/>
      <c r="D22" s="90">
        <v>0.5</v>
      </c>
      <c r="E22" s="35">
        <v>0.5</v>
      </c>
      <c r="F22" s="35">
        <f t="shared" si="1"/>
        <v>0.25</v>
      </c>
      <c r="G22" s="89" t="s">
        <v>148</v>
      </c>
      <c r="H22" s="89"/>
      <c r="I22" s="64" t="s">
        <v>102</v>
      </c>
      <c r="J22" s="64"/>
      <c r="K22" s="81">
        <f t="shared" si="2"/>
        <v>-769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 t="s">
        <v>267</v>
      </c>
      <c r="B23" s="80">
        <v>44</v>
      </c>
      <c r="C23" s="80"/>
      <c r="D23" s="90">
        <v>0.5</v>
      </c>
      <c r="E23" s="35">
        <v>7.3</v>
      </c>
      <c r="F23" s="35">
        <f t="shared" si="1"/>
        <v>3.65</v>
      </c>
      <c r="G23" s="89" t="s">
        <v>269</v>
      </c>
      <c r="H23" s="89"/>
      <c r="I23" s="64" t="s">
        <v>105</v>
      </c>
      <c r="J23" s="64"/>
      <c r="K23" s="81">
        <f t="shared" si="2"/>
        <v>-766</v>
      </c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57</v>
      </c>
      <c r="C24" s="80">
        <v>66</v>
      </c>
      <c r="D24" s="72">
        <f>C24-B24</f>
        <v>9</v>
      </c>
      <c r="E24" s="35">
        <v>0.5</v>
      </c>
      <c r="F24" s="35">
        <f t="shared" si="1"/>
        <v>4.5</v>
      </c>
      <c r="G24" s="89" t="s">
        <v>120</v>
      </c>
      <c r="H24" s="89">
        <v>2</v>
      </c>
      <c r="I24" s="64" t="s">
        <v>102</v>
      </c>
      <c r="J24" s="64">
        <v>58</v>
      </c>
      <c r="K24" s="81">
        <f t="shared" si="2"/>
        <v>-753</v>
      </c>
      <c r="L24" s="81">
        <f t="shared" si="2"/>
        <v>-744</v>
      </c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268</v>
      </c>
      <c r="B25" s="80">
        <v>66</v>
      </c>
      <c r="C25" s="80">
        <v>68</v>
      </c>
      <c r="D25" s="72">
        <f>C25-B25</f>
        <v>2</v>
      </c>
      <c r="E25" s="35">
        <v>0.5</v>
      </c>
      <c r="F25" s="35">
        <f t="shared" si="1"/>
        <v>1</v>
      </c>
      <c r="G25" s="89" t="s">
        <v>120</v>
      </c>
      <c r="H25" s="89">
        <v>2</v>
      </c>
      <c r="I25" s="64" t="s">
        <v>102</v>
      </c>
      <c r="J25" s="64">
        <v>59</v>
      </c>
      <c r="K25" s="81">
        <f t="shared" si="2"/>
        <v>-744</v>
      </c>
      <c r="L25" s="81">
        <f t="shared" si="2"/>
        <v>-742</v>
      </c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80</v>
      </c>
      <c r="C26" s="80"/>
      <c r="D26" s="90">
        <v>0.5</v>
      </c>
      <c r="E26" s="35">
        <v>0.5</v>
      </c>
      <c r="F26" s="35">
        <f t="shared" si="1"/>
        <v>0.25</v>
      </c>
      <c r="G26" s="89" t="s">
        <v>148</v>
      </c>
      <c r="H26" s="89"/>
      <c r="I26" s="64" t="s">
        <v>102</v>
      </c>
      <c r="J26" s="64"/>
      <c r="K26" s="81">
        <f t="shared" si="2"/>
        <v>-730</v>
      </c>
      <c r="L26" s="81"/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86</v>
      </c>
      <c r="C27" s="80">
        <v>104</v>
      </c>
      <c r="D27" s="72">
        <f>C27-B27</f>
        <v>18</v>
      </c>
      <c r="E27" s="35">
        <v>1</v>
      </c>
      <c r="F27" s="35">
        <f t="shared" si="1"/>
        <v>18</v>
      </c>
      <c r="G27" s="89" t="s">
        <v>155</v>
      </c>
      <c r="H27" s="89">
        <v>1</v>
      </c>
      <c r="I27" s="64" t="s">
        <v>102</v>
      </c>
      <c r="J27" s="64"/>
      <c r="K27" s="81">
        <f t="shared" si="2"/>
        <v>-724</v>
      </c>
      <c r="L27" s="81">
        <f t="shared" si="2"/>
        <v>-706</v>
      </c>
      <c r="O27" s="60" t="s">
        <v>126</v>
      </c>
      <c r="R27" s="58" t="s">
        <v>99</v>
      </c>
    </row>
    <row r="28" spans="1:18" ht="17.100000000000001" customHeight="1" x14ac:dyDescent="0.25">
      <c r="A28" s="78" t="s">
        <v>21</v>
      </c>
      <c r="B28" s="80">
        <v>94</v>
      </c>
      <c r="C28" s="80">
        <v>104</v>
      </c>
      <c r="D28" s="72">
        <f>C28-B28</f>
        <v>10</v>
      </c>
      <c r="E28" s="35">
        <v>1</v>
      </c>
      <c r="F28" s="35">
        <f t="shared" si="1"/>
        <v>10</v>
      </c>
      <c r="G28" s="89" t="s">
        <v>155</v>
      </c>
      <c r="H28" s="89">
        <v>1</v>
      </c>
      <c r="I28" s="64" t="s">
        <v>103</v>
      </c>
      <c r="J28" s="64"/>
      <c r="K28" s="81">
        <f t="shared" si="2"/>
        <v>-716</v>
      </c>
      <c r="L28" s="81">
        <f t="shared" si="2"/>
        <v>-706</v>
      </c>
      <c r="O28" s="60" t="s">
        <v>107</v>
      </c>
      <c r="R28" s="58" t="s">
        <v>105</v>
      </c>
    </row>
    <row r="29" spans="1:18" ht="17.100000000000001" customHeight="1" x14ac:dyDescent="0.25">
      <c r="A29" s="78" t="s">
        <v>268</v>
      </c>
      <c r="B29" s="80">
        <v>105</v>
      </c>
      <c r="C29" s="80">
        <v>109</v>
      </c>
      <c r="D29" s="72">
        <f>C29-B29</f>
        <v>4</v>
      </c>
      <c r="E29" s="35">
        <v>3.65</v>
      </c>
      <c r="F29" s="35">
        <f t="shared" si="1"/>
        <v>14.6</v>
      </c>
      <c r="G29" s="89" t="s">
        <v>122</v>
      </c>
      <c r="H29" s="89">
        <v>2</v>
      </c>
      <c r="I29" s="64" t="s">
        <v>105</v>
      </c>
      <c r="J29" s="64">
        <v>60</v>
      </c>
      <c r="K29" s="81">
        <f t="shared" si="2"/>
        <v>-705</v>
      </c>
      <c r="L29" s="81">
        <f t="shared" si="2"/>
        <v>-701</v>
      </c>
      <c r="O29" s="60" t="s">
        <v>127</v>
      </c>
    </row>
    <row r="30" spans="1:18" ht="17.100000000000001" customHeight="1" x14ac:dyDescent="0.25">
      <c r="A30" s="78" t="s">
        <v>268</v>
      </c>
      <c r="B30" s="80">
        <v>110</v>
      </c>
      <c r="C30" s="80">
        <v>121</v>
      </c>
      <c r="D30" s="72">
        <f>C30-B30</f>
        <v>11</v>
      </c>
      <c r="E30" s="35">
        <v>1.5</v>
      </c>
      <c r="F30" s="35">
        <f t="shared" si="1"/>
        <v>16.5</v>
      </c>
      <c r="G30" s="89" t="s">
        <v>156</v>
      </c>
      <c r="H30" s="89" t="s">
        <v>287</v>
      </c>
      <c r="I30" s="64" t="s">
        <v>104</v>
      </c>
      <c r="J30" s="64">
        <v>61</v>
      </c>
      <c r="K30" s="81">
        <f t="shared" si="2"/>
        <v>-700</v>
      </c>
      <c r="L30" s="81">
        <f t="shared" si="2"/>
        <v>-689</v>
      </c>
      <c r="O30" s="60" t="s">
        <v>156</v>
      </c>
    </row>
    <row r="31" spans="1:18" ht="17.100000000000001" customHeight="1" x14ac:dyDescent="0.25">
      <c r="A31" s="78" t="s">
        <v>267</v>
      </c>
      <c r="B31" s="80">
        <v>122</v>
      </c>
      <c r="C31" s="80">
        <v>124</v>
      </c>
      <c r="D31" s="72">
        <f>C31-B31</f>
        <v>2</v>
      </c>
      <c r="E31" s="35">
        <v>7.3</v>
      </c>
      <c r="F31" s="35">
        <f t="shared" si="1"/>
        <v>14.6</v>
      </c>
      <c r="G31" s="89" t="s">
        <v>151</v>
      </c>
      <c r="H31" s="89"/>
      <c r="I31" s="64" t="s">
        <v>285</v>
      </c>
      <c r="J31" s="64"/>
      <c r="K31" s="81">
        <f t="shared" si="2"/>
        <v>-688</v>
      </c>
      <c r="L31" s="81">
        <f t="shared" si="2"/>
        <v>-686</v>
      </c>
      <c r="O31" s="61" t="s">
        <v>128</v>
      </c>
    </row>
    <row r="32" spans="1:18" ht="17.100000000000001" customHeight="1" x14ac:dyDescent="0.25">
      <c r="A32" s="78" t="s">
        <v>268</v>
      </c>
      <c r="B32" s="80">
        <v>130</v>
      </c>
      <c r="C32" s="80">
        <v>131</v>
      </c>
      <c r="D32" s="72">
        <v>1</v>
      </c>
      <c r="E32" s="35">
        <v>1</v>
      </c>
      <c r="F32" s="35">
        <f t="shared" si="1"/>
        <v>1</v>
      </c>
      <c r="G32" s="89" t="s">
        <v>155</v>
      </c>
      <c r="H32" s="89">
        <v>1</v>
      </c>
      <c r="I32" s="64" t="s">
        <v>102</v>
      </c>
      <c r="J32" s="64"/>
      <c r="K32" s="81">
        <f t="shared" si="2"/>
        <v>-680</v>
      </c>
      <c r="L32" s="81">
        <f t="shared" si="2"/>
        <v>-679</v>
      </c>
      <c r="O32" s="63" t="s">
        <v>155</v>
      </c>
    </row>
    <row r="33" spans="1:21" ht="17.100000000000001" customHeight="1" x14ac:dyDescent="0.25">
      <c r="A33" s="78" t="s">
        <v>21</v>
      </c>
      <c r="B33" s="80">
        <v>135</v>
      </c>
      <c r="C33" s="80">
        <v>204</v>
      </c>
      <c r="D33" s="72">
        <f>C33-B33</f>
        <v>69</v>
      </c>
      <c r="E33" s="35">
        <v>3.65</v>
      </c>
      <c r="F33" s="35">
        <f t="shared" si="0"/>
        <v>251.85</v>
      </c>
      <c r="G33" s="89" t="s">
        <v>111</v>
      </c>
      <c r="H33" s="89"/>
      <c r="I33" s="64" t="s">
        <v>105</v>
      </c>
      <c r="J33" s="64"/>
      <c r="K33" s="81">
        <f t="shared" si="2"/>
        <v>-675</v>
      </c>
      <c r="L33" s="81">
        <f t="shared" si="2"/>
        <v>-606</v>
      </c>
      <c r="O33" s="62" t="s">
        <v>150</v>
      </c>
    </row>
    <row r="34" spans="1:21" ht="17.100000000000001" customHeight="1" x14ac:dyDescent="0.25">
      <c r="A34" s="78" t="s">
        <v>21</v>
      </c>
      <c r="B34" s="80">
        <v>156</v>
      </c>
      <c r="C34" s="80">
        <v>183</v>
      </c>
      <c r="D34" s="72">
        <f>C34-B34</f>
        <v>27</v>
      </c>
      <c r="E34" s="35">
        <v>0.5</v>
      </c>
      <c r="F34" s="35">
        <f>E34*D34</f>
        <v>13.5</v>
      </c>
      <c r="G34" s="89" t="s">
        <v>150</v>
      </c>
      <c r="H34" s="89" t="s">
        <v>100</v>
      </c>
      <c r="I34" s="64" t="s">
        <v>102</v>
      </c>
      <c r="J34" s="64">
        <v>62</v>
      </c>
      <c r="K34" s="81">
        <f t="shared" si="2"/>
        <v>-654</v>
      </c>
      <c r="L34" s="81">
        <f t="shared" si="2"/>
        <v>-627</v>
      </c>
      <c r="O34" s="62" t="s">
        <v>107</v>
      </c>
    </row>
    <row r="35" spans="1:21" ht="17.100000000000001" customHeight="1" x14ac:dyDescent="0.25">
      <c r="A35" s="78" t="s">
        <v>268</v>
      </c>
      <c r="B35" s="80">
        <v>169</v>
      </c>
      <c r="C35" s="80"/>
      <c r="D35" s="90">
        <v>0.5</v>
      </c>
      <c r="E35" s="35">
        <v>0.5</v>
      </c>
      <c r="F35" s="35">
        <f>E35*D35</f>
        <v>0.25</v>
      </c>
      <c r="G35" s="89" t="s">
        <v>280</v>
      </c>
      <c r="H35" s="89"/>
      <c r="I35" s="64" t="s">
        <v>102</v>
      </c>
      <c r="J35" s="64"/>
      <c r="K35" s="81">
        <f t="shared" si="2"/>
        <v>-641</v>
      </c>
      <c r="L35" s="81"/>
      <c r="O35" s="62" t="s">
        <v>112</v>
      </c>
    </row>
    <row r="36" spans="1:21" ht="17.100000000000001" customHeight="1" x14ac:dyDescent="0.25">
      <c r="A36" s="78" t="s">
        <v>267</v>
      </c>
      <c r="B36" s="80">
        <v>190</v>
      </c>
      <c r="C36" s="80">
        <v>194</v>
      </c>
      <c r="D36" s="72">
        <v>4</v>
      </c>
      <c r="E36" s="35">
        <v>7.3</v>
      </c>
      <c r="F36" s="35">
        <f>E36*D36</f>
        <v>29.2</v>
      </c>
      <c r="G36" s="89" t="s">
        <v>269</v>
      </c>
      <c r="H36" s="89"/>
      <c r="I36" s="64" t="s">
        <v>286</v>
      </c>
      <c r="J36" s="64"/>
      <c r="K36" s="81">
        <f t="shared" si="2"/>
        <v>-620</v>
      </c>
      <c r="L36" s="81">
        <f t="shared" si="2"/>
        <v>-616</v>
      </c>
      <c r="O36" s="62" t="s">
        <v>148</v>
      </c>
    </row>
    <row r="37" spans="1:21" ht="17.100000000000001" customHeight="1" x14ac:dyDescent="0.25">
      <c r="A37" s="105" t="s">
        <v>21</v>
      </c>
      <c r="B37" s="80">
        <v>195</v>
      </c>
      <c r="C37" s="80">
        <v>204</v>
      </c>
      <c r="D37" s="72">
        <f>C37-B37</f>
        <v>9</v>
      </c>
      <c r="E37" s="35">
        <v>0.5</v>
      </c>
      <c r="F37" s="35">
        <f>E37*D37</f>
        <v>4.5</v>
      </c>
      <c r="G37" s="89" t="s">
        <v>120</v>
      </c>
      <c r="H37" s="89">
        <v>2</v>
      </c>
      <c r="I37" s="64" t="s">
        <v>102</v>
      </c>
      <c r="J37" s="64">
        <v>63</v>
      </c>
      <c r="K37" s="81">
        <f t="shared" si="2"/>
        <v>-615</v>
      </c>
      <c r="L37" s="81">
        <f t="shared" si="2"/>
        <v>-606</v>
      </c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 t="s">
        <v>21</v>
      </c>
      <c r="B38" s="80">
        <v>204</v>
      </c>
      <c r="C38" s="80">
        <v>303</v>
      </c>
      <c r="D38" s="72">
        <f>C38-B38</f>
        <v>99</v>
      </c>
      <c r="E38" s="35">
        <v>3.65</v>
      </c>
      <c r="F38" s="35">
        <f t="shared" si="0"/>
        <v>361.34999999999997</v>
      </c>
      <c r="G38" s="89" t="s">
        <v>110</v>
      </c>
      <c r="H38" s="89"/>
      <c r="I38" s="64" t="s">
        <v>105</v>
      </c>
      <c r="J38" s="64"/>
      <c r="K38" s="81">
        <f t="shared" si="2"/>
        <v>-606</v>
      </c>
      <c r="L38" s="81">
        <f t="shared" si="2"/>
        <v>-507</v>
      </c>
      <c r="O38" s="62" t="s">
        <v>151</v>
      </c>
    </row>
    <row r="39" spans="1:21" ht="17.100000000000001" customHeight="1" x14ac:dyDescent="0.25">
      <c r="A39" s="78" t="s">
        <v>21</v>
      </c>
      <c r="B39" s="80">
        <v>205</v>
      </c>
      <c r="C39" s="80"/>
      <c r="D39" s="90">
        <v>0.5</v>
      </c>
      <c r="E39" s="35">
        <v>3.65</v>
      </c>
      <c r="F39" s="35">
        <f>E39*D39</f>
        <v>1.825</v>
      </c>
      <c r="G39" s="89" t="s">
        <v>155</v>
      </c>
      <c r="H39" s="89">
        <v>1</v>
      </c>
      <c r="I39" s="64" t="s">
        <v>105</v>
      </c>
      <c r="J39" s="64"/>
      <c r="K39" s="81">
        <f t="shared" si="2"/>
        <v>-605</v>
      </c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 t="s">
        <v>21</v>
      </c>
      <c r="B40" s="80">
        <v>207</v>
      </c>
      <c r="C40" s="80"/>
      <c r="D40" s="90">
        <v>0.5</v>
      </c>
      <c r="E40" s="35">
        <v>0.5</v>
      </c>
      <c r="F40" s="35">
        <f>E40*D40</f>
        <v>0.25</v>
      </c>
      <c r="G40" s="89" t="s">
        <v>148</v>
      </c>
      <c r="H40" s="89" t="s">
        <v>279</v>
      </c>
      <c r="I40" s="64" t="s">
        <v>102</v>
      </c>
      <c r="J40" s="64">
        <v>64</v>
      </c>
      <c r="K40" s="81">
        <f t="shared" si="2"/>
        <v>-603</v>
      </c>
      <c r="L40" s="81"/>
      <c r="O40" s="62" t="s">
        <v>109</v>
      </c>
    </row>
    <row r="41" spans="1:21" ht="17.100000000000001" customHeight="1" x14ac:dyDescent="0.25">
      <c r="A41" s="78" t="s">
        <v>268</v>
      </c>
      <c r="B41" s="80">
        <v>213</v>
      </c>
      <c r="C41" s="80"/>
      <c r="D41" s="90">
        <v>0.5</v>
      </c>
      <c r="E41" s="35">
        <v>0.5</v>
      </c>
      <c r="F41" s="35">
        <f>E41*D41</f>
        <v>0.25</v>
      </c>
      <c r="G41" s="89" t="s">
        <v>155</v>
      </c>
      <c r="H41" s="89">
        <v>1</v>
      </c>
      <c r="I41" s="64" t="s">
        <v>102</v>
      </c>
      <c r="J41" s="64"/>
      <c r="K41" s="81">
        <f t="shared" si="2"/>
        <v>-597</v>
      </c>
      <c r="L41" s="81"/>
      <c r="O41" s="62" t="s">
        <v>152</v>
      </c>
      <c r="P41" s="5"/>
      <c r="Q41" s="5"/>
    </row>
    <row r="42" spans="1:21" ht="17.100000000000001" customHeight="1" x14ac:dyDescent="0.25">
      <c r="A42" s="78" t="s">
        <v>267</v>
      </c>
      <c r="B42" s="80">
        <v>220</v>
      </c>
      <c r="C42" s="80"/>
      <c r="D42" s="90">
        <v>0.5</v>
      </c>
      <c r="E42" s="35">
        <v>7.3</v>
      </c>
      <c r="F42" s="35">
        <f>E42*D42</f>
        <v>3.65</v>
      </c>
      <c r="G42" s="89" t="s">
        <v>269</v>
      </c>
      <c r="H42" s="83"/>
      <c r="I42" s="64" t="s">
        <v>105</v>
      </c>
      <c r="J42" s="64"/>
      <c r="K42" s="81">
        <f t="shared" si="2"/>
        <v>-590</v>
      </c>
      <c r="L42" s="81"/>
      <c r="O42" s="62" t="s">
        <v>106</v>
      </c>
    </row>
    <row r="43" spans="1:21" ht="16.95" customHeight="1" thickBot="1" x14ac:dyDescent="0.3">
      <c r="A43" s="68" t="s">
        <v>21</v>
      </c>
      <c r="B43" s="84">
        <v>225</v>
      </c>
      <c r="C43" s="84">
        <v>227</v>
      </c>
      <c r="D43" s="85">
        <v>2</v>
      </c>
      <c r="E43" s="55">
        <v>1</v>
      </c>
      <c r="F43" s="55">
        <f>E43*D43</f>
        <v>2</v>
      </c>
      <c r="G43" s="102" t="s">
        <v>122</v>
      </c>
      <c r="H43" s="102">
        <v>2</v>
      </c>
      <c r="I43" s="69" t="s">
        <v>102</v>
      </c>
      <c r="J43" s="69">
        <v>65</v>
      </c>
      <c r="K43" s="81">
        <f t="shared" si="2"/>
        <v>-585</v>
      </c>
      <c r="L43" s="81">
        <f t="shared" si="2"/>
        <v>-583</v>
      </c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3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64">
        <v>3.65</v>
      </c>
      <c r="C45" s="35">
        <v>225</v>
      </c>
      <c r="D45" s="35">
        <f t="shared" ref="D45" si="4">SUM(C45*B45)</f>
        <v>821.25</v>
      </c>
      <c r="E45" s="64" t="s">
        <v>120</v>
      </c>
      <c r="F45" s="35">
        <f t="shared" si="3"/>
        <v>10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64">
        <v>3.65</v>
      </c>
      <c r="C46" s="35">
        <v>225</v>
      </c>
      <c r="D46" s="35">
        <f t="shared" ref="D46" si="5">SUM(C46*B46)</f>
        <v>821.25</v>
      </c>
      <c r="E46" s="64" t="s">
        <v>121</v>
      </c>
      <c r="F46" s="35">
        <f t="shared" si="3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20.5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3"/>
        <v>58.6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3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450</v>
      </c>
      <c r="D49" s="35">
        <f>SUM(D45:D47)</f>
        <v>1642.5</v>
      </c>
      <c r="E49" s="64" t="s">
        <v>124</v>
      </c>
      <c r="F49" s="35">
        <f t="shared" si="3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4">
    <mergeCell ref="H16:H17"/>
    <mergeCell ref="I16:I17"/>
    <mergeCell ref="J16:J17"/>
    <mergeCell ref="G63:J63"/>
    <mergeCell ref="G64:J64"/>
    <mergeCell ref="G16:G17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H19:H20 H22:H43" xr:uid="{3049270F-F5D0-4731-8596-A0848371B510}">
      <formula1>$R$17:$R$23</formula1>
    </dataValidation>
    <dataValidation type="list" allowBlank="1" showInputMessage="1" showErrorMessage="1" sqref="G18:G43" xr:uid="{9454785D-B6B2-41FA-85B9-2C1CFC3F3D68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0C11-D0C6-4309-8397-7E4A318B6064}">
  <sheetPr>
    <pageSetUpPr fitToPage="1"/>
  </sheetPr>
  <dimension ref="A1:W71"/>
  <sheetViews>
    <sheetView topLeftCell="A3" zoomScaleNormal="100" workbookViewId="0">
      <selection activeCell="P14" sqref="P14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173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191</v>
      </c>
      <c r="M9">
        <v>810</v>
      </c>
      <c r="O9">
        <f>1119-810</f>
        <v>309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192</v>
      </c>
      <c r="M10">
        <v>1119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190</v>
      </c>
      <c r="G11" s="143"/>
      <c r="H11" s="178"/>
      <c r="I11" s="180" t="s">
        <v>328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365</v>
      </c>
      <c r="H14" s="79" t="s">
        <v>367</v>
      </c>
      <c r="I14" s="177" t="s">
        <v>250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366</v>
      </c>
      <c r="H15" s="79" t="s">
        <v>368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268</v>
      </c>
      <c r="B18" s="80">
        <v>240</v>
      </c>
      <c r="C18" s="80">
        <v>245</v>
      </c>
      <c r="D18" s="72">
        <f>C18-B18</f>
        <v>5</v>
      </c>
      <c r="E18" s="35">
        <v>0.5</v>
      </c>
      <c r="F18" s="35">
        <f t="shared" ref="F18:F26" si="0">E18*D18</f>
        <v>2.5</v>
      </c>
      <c r="G18" s="89" t="s">
        <v>120</v>
      </c>
      <c r="H18" s="89">
        <v>2</v>
      </c>
      <c r="I18" s="64" t="s">
        <v>102</v>
      </c>
      <c r="J18" s="64">
        <v>66</v>
      </c>
      <c r="K18" s="81">
        <f>B18-810</f>
        <v>-570</v>
      </c>
      <c r="L18" s="81">
        <f>C18-810</f>
        <v>-565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253</v>
      </c>
      <c r="C19" s="80"/>
      <c r="D19" s="90">
        <v>0.5</v>
      </c>
      <c r="E19" s="35">
        <v>0.5</v>
      </c>
      <c r="F19" s="35">
        <f t="shared" si="0"/>
        <v>0.25</v>
      </c>
      <c r="G19" s="89" t="s">
        <v>280</v>
      </c>
      <c r="H19" s="89"/>
      <c r="I19" s="64" t="s">
        <v>102</v>
      </c>
      <c r="J19" s="64"/>
      <c r="K19" s="81">
        <f t="shared" ref="K19:L27" si="1">B19-810</f>
        <v>-557</v>
      </c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262</v>
      </c>
      <c r="C20" s="80"/>
      <c r="D20" s="90">
        <v>0.5</v>
      </c>
      <c r="E20" s="35">
        <v>0.5</v>
      </c>
      <c r="F20" s="35">
        <f t="shared" si="0"/>
        <v>0.25</v>
      </c>
      <c r="G20" s="89" t="s">
        <v>155</v>
      </c>
      <c r="H20" s="89">
        <v>1</v>
      </c>
      <c r="I20" s="64" t="s">
        <v>99</v>
      </c>
      <c r="J20" s="64"/>
      <c r="K20" s="81">
        <f t="shared" si="1"/>
        <v>-548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268</v>
      </c>
      <c r="B21" s="80">
        <v>271</v>
      </c>
      <c r="C21" s="80">
        <v>281</v>
      </c>
      <c r="D21" s="72">
        <f>C21-B21</f>
        <v>10</v>
      </c>
      <c r="E21" s="35">
        <v>0.5</v>
      </c>
      <c r="F21" s="35">
        <f t="shared" si="0"/>
        <v>5</v>
      </c>
      <c r="G21" s="89" t="s">
        <v>120</v>
      </c>
      <c r="H21" s="89">
        <v>2</v>
      </c>
      <c r="I21" s="64" t="s">
        <v>102</v>
      </c>
      <c r="J21" s="64">
        <v>67</v>
      </c>
      <c r="K21" s="81">
        <f t="shared" si="1"/>
        <v>-539</v>
      </c>
      <c r="L21" s="81">
        <f t="shared" si="1"/>
        <v>-529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</v>
      </c>
      <c r="B22" s="80">
        <v>279</v>
      </c>
      <c r="C22" s="80"/>
      <c r="D22" s="90">
        <v>0.5</v>
      </c>
      <c r="E22" s="35">
        <v>0.5</v>
      </c>
      <c r="F22" s="35">
        <f t="shared" si="0"/>
        <v>0.25</v>
      </c>
      <c r="G22" s="89" t="s">
        <v>120</v>
      </c>
      <c r="H22" s="89">
        <v>2</v>
      </c>
      <c r="I22" s="64" t="s">
        <v>102</v>
      </c>
      <c r="J22" s="64">
        <v>68</v>
      </c>
      <c r="K22" s="81">
        <f t="shared" si="1"/>
        <v>-531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285</v>
      </c>
      <c r="C23" s="80">
        <v>286</v>
      </c>
      <c r="D23" s="72">
        <v>1</v>
      </c>
      <c r="E23" s="35">
        <v>0.5</v>
      </c>
      <c r="F23" s="35">
        <f t="shared" si="0"/>
        <v>0.5</v>
      </c>
      <c r="G23" s="89" t="s">
        <v>155</v>
      </c>
      <c r="H23" s="89">
        <v>1</v>
      </c>
      <c r="I23" s="64" t="s">
        <v>99</v>
      </c>
      <c r="J23" s="64"/>
      <c r="K23" s="81">
        <f t="shared" si="1"/>
        <v>-525</v>
      </c>
      <c r="L23" s="81">
        <f t="shared" si="1"/>
        <v>-524</v>
      </c>
      <c r="O23" s="60" t="s">
        <v>124</v>
      </c>
      <c r="R23" s="58" t="s">
        <v>101</v>
      </c>
    </row>
    <row r="24" spans="1:18" ht="17.100000000000001" customHeight="1" x14ac:dyDescent="0.25">
      <c r="A24" s="78" t="s">
        <v>268</v>
      </c>
      <c r="B24" s="80">
        <v>295</v>
      </c>
      <c r="C24" s="80"/>
      <c r="D24" s="90">
        <v>0.5</v>
      </c>
      <c r="E24" s="35">
        <v>0.5</v>
      </c>
      <c r="F24" s="35">
        <f t="shared" si="0"/>
        <v>0.25</v>
      </c>
      <c r="G24" s="89" t="s">
        <v>148</v>
      </c>
      <c r="H24" s="89"/>
      <c r="I24" s="64" t="s">
        <v>102</v>
      </c>
      <c r="J24" s="64"/>
      <c r="K24" s="81">
        <f t="shared" si="1"/>
        <v>-515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301</v>
      </c>
      <c r="C25" s="80"/>
      <c r="D25" s="90">
        <v>0.5</v>
      </c>
      <c r="E25" s="35">
        <v>0.5</v>
      </c>
      <c r="F25" s="35">
        <f t="shared" si="0"/>
        <v>0.25</v>
      </c>
      <c r="G25" s="89" t="s">
        <v>155</v>
      </c>
      <c r="H25" s="89">
        <v>1</v>
      </c>
      <c r="I25" s="64" t="s">
        <v>99</v>
      </c>
      <c r="J25" s="64"/>
      <c r="K25" s="81">
        <f t="shared" si="1"/>
        <v>-509</v>
      </c>
      <c r="L25" s="81"/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302</v>
      </c>
      <c r="C26" s="80"/>
      <c r="D26" s="90">
        <v>0.5</v>
      </c>
      <c r="E26" s="35">
        <v>0.5</v>
      </c>
      <c r="F26" s="35">
        <f t="shared" si="0"/>
        <v>0.25</v>
      </c>
      <c r="G26" s="89" t="s">
        <v>148</v>
      </c>
      <c r="H26" s="89" t="s">
        <v>279</v>
      </c>
      <c r="I26" s="64" t="s">
        <v>102</v>
      </c>
      <c r="J26" s="64">
        <v>69</v>
      </c>
      <c r="K26" s="81">
        <f t="shared" si="1"/>
        <v>-508</v>
      </c>
      <c r="L26" s="81"/>
      <c r="O26" s="60" t="s">
        <v>125</v>
      </c>
      <c r="R26" s="58" t="s">
        <v>104</v>
      </c>
    </row>
    <row r="27" spans="1:18" ht="17.100000000000001" customHeight="1" x14ac:dyDescent="0.25">
      <c r="A27" s="78" t="s">
        <v>267</v>
      </c>
      <c r="B27" s="80">
        <v>303</v>
      </c>
      <c r="C27" s="80">
        <v>309</v>
      </c>
      <c r="D27" s="72">
        <f>C27-B27</f>
        <v>6</v>
      </c>
      <c r="E27" s="35">
        <v>7.3</v>
      </c>
      <c r="F27" s="35">
        <f t="shared" ref="F27" si="2">E27*D27</f>
        <v>43.8</v>
      </c>
      <c r="G27" s="89" t="s">
        <v>111</v>
      </c>
      <c r="H27" s="89"/>
      <c r="I27" s="64" t="s">
        <v>105</v>
      </c>
      <c r="J27" s="64"/>
      <c r="K27" s="81">
        <f t="shared" si="1"/>
        <v>-507</v>
      </c>
      <c r="L27" s="81">
        <f t="shared" si="1"/>
        <v>-501</v>
      </c>
      <c r="O27" s="60" t="s">
        <v>126</v>
      </c>
      <c r="R27" s="58" t="s">
        <v>99</v>
      </c>
    </row>
    <row r="28" spans="1:18" ht="17.100000000000001" customHeight="1" x14ac:dyDescent="0.25">
      <c r="A28" s="78"/>
      <c r="B28" s="193" t="s">
        <v>288</v>
      </c>
      <c r="C28" s="194"/>
      <c r="D28" s="194"/>
      <c r="E28" s="194"/>
      <c r="F28" s="194"/>
      <c r="G28" s="194"/>
      <c r="H28" s="194"/>
      <c r="I28" s="195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105"/>
      <c r="B29" s="80"/>
      <c r="C29" s="80"/>
      <c r="D29" s="72"/>
      <c r="E29" s="35"/>
      <c r="F29" s="35"/>
      <c r="G29" s="89"/>
      <c r="H29" s="89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90"/>
      <c r="E30" s="35"/>
      <c r="F30" s="35"/>
      <c r="G30" s="89"/>
      <c r="H30" s="89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9"/>
      <c r="H31" s="89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105"/>
      <c r="B32" s="80"/>
      <c r="C32" s="80"/>
      <c r="D32" s="72"/>
      <c r="E32" s="35"/>
      <c r="F32" s="35"/>
      <c r="G32" s="89"/>
      <c r="H32" s="89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9"/>
      <c r="H33" s="89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90"/>
      <c r="E34" s="35"/>
      <c r="F34" s="35"/>
      <c r="G34" s="89"/>
      <c r="H34" s="89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90"/>
      <c r="E35" s="35"/>
      <c r="F35" s="35"/>
      <c r="G35" s="89"/>
      <c r="H35" s="89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90"/>
      <c r="E36" s="35"/>
      <c r="F36" s="35"/>
      <c r="G36" s="89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9"/>
      <c r="H37" s="89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90"/>
      <c r="E38" s="35"/>
      <c r="F38" s="35"/>
      <c r="G38" s="89"/>
      <c r="H38" s="89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90"/>
      <c r="E39" s="35"/>
      <c r="F39" s="35"/>
      <c r="G39" s="89"/>
      <c r="H39" s="89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90"/>
      <c r="E40" s="35"/>
      <c r="F40" s="35"/>
      <c r="G40" s="89"/>
      <c r="H40" s="89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9"/>
      <c r="H41" s="89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90"/>
      <c r="E42" s="35"/>
      <c r="F42" s="35"/>
      <c r="G42" s="89"/>
      <c r="H42" s="89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102"/>
      <c r="H43" s="102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3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64">
        <v>3.65</v>
      </c>
      <c r="C45" s="35">
        <v>84</v>
      </c>
      <c r="D45" s="35">
        <f t="shared" ref="D45" si="4">SUM(C45*B45)</f>
        <v>306.59999999999997</v>
      </c>
      <c r="E45" s="64" t="s">
        <v>120</v>
      </c>
      <c r="F45" s="35">
        <f t="shared" si="3"/>
        <v>7.75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64">
        <v>3.65</v>
      </c>
      <c r="C46" s="35">
        <v>84</v>
      </c>
      <c r="D46" s="35">
        <f t="shared" ref="D46" si="5">SUM(C46*B46)</f>
        <v>306.59999999999997</v>
      </c>
      <c r="E46" s="64" t="s">
        <v>121</v>
      </c>
      <c r="F46" s="35">
        <f t="shared" si="3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3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3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168</v>
      </c>
      <c r="D49" s="35">
        <f>SUM(D45:D47)</f>
        <v>613.19999999999993</v>
      </c>
      <c r="E49" s="64" t="s">
        <v>124</v>
      </c>
      <c r="F49" s="35">
        <f t="shared" si="3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B28:I28"/>
    <mergeCell ref="G16:G17"/>
  </mergeCells>
  <dataValidations count="2">
    <dataValidation type="list" allowBlank="1" showInputMessage="1" showErrorMessage="1" sqref="H18:H25 H27 H29:H43" xr:uid="{9042B0FF-98CB-43A9-ACF2-ADA9607B942A}">
      <formula1>$R$17:$R$23</formula1>
    </dataValidation>
    <dataValidation type="list" allowBlank="1" showInputMessage="1" showErrorMessage="1" sqref="G18:G27 G29:G43" xr:uid="{0EBD3139-0893-4FA5-8E89-C7163309E589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AAF2-38AE-4C54-B10E-B4C10A5E5E92}">
  <sheetPr>
    <pageSetUpPr fitToPage="1"/>
  </sheetPr>
  <dimension ref="A1:W73"/>
  <sheetViews>
    <sheetView zoomScaleNormal="100" workbookViewId="0">
      <selection activeCell="J20" sqref="J20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194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161</v>
      </c>
      <c r="G8" s="162" t="s">
        <v>164</v>
      </c>
      <c r="H8" s="163"/>
      <c r="I8" s="166">
        <v>45239</v>
      </c>
      <c r="J8" s="167"/>
      <c r="K8" t="s">
        <v>251</v>
      </c>
      <c r="M8">
        <v>6628</v>
      </c>
      <c r="O8">
        <f>8888-6628</f>
        <v>2260</v>
      </c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252</v>
      </c>
      <c r="M9">
        <v>8888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193</v>
      </c>
      <c r="G11" s="143"/>
      <c r="H11" s="178"/>
      <c r="I11" s="180" t="s">
        <v>329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  <c r="M13" s="27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369</v>
      </c>
      <c r="H14" s="79" t="s">
        <v>371</v>
      </c>
      <c r="I14" s="177" t="s">
        <v>253</v>
      </c>
      <c r="J14" s="183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370</v>
      </c>
      <c r="H15" s="79" t="s">
        <v>372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0</v>
      </c>
      <c r="C18" s="80">
        <v>2260</v>
      </c>
      <c r="D18" s="72">
        <f>C18-B18</f>
        <v>2260</v>
      </c>
      <c r="E18" s="35">
        <v>3</v>
      </c>
      <c r="F18" s="35">
        <f t="shared" ref="F18:F36" si="0">E18*D18</f>
        <v>6780</v>
      </c>
      <c r="G18" s="89" t="s">
        <v>110</v>
      </c>
      <c r="H18" s="89"/>
      <c r="I18" s="64" t="s">
        <v>105</v>
      </c>
      <c r="J18" s="64">
        <v>70</v>
      </c>
      <c r="K18" s="81">
        <f>B18-6628</f>
        <v>-6628</v>
      </c>
      <c r="L18" s="81">
        <f>C18-6628</f>
        <v>-4368</v>
      </c>
      <c r="O18" s="60" t="s">
        <v>119</v>
      </c>
      <c r="R18" s="59">
        <v>1</v>
      </c>
    </row>
    <row r="19" spans="1:18" ht="17.100000000000001" customHeight="1" x14ac:dyDescent="0.25">
      <c r="A19" s="78" t="s">
        <v>268</v>
      </c>
      <c r="B19" s="80">
        <v>0</v>
      </c>
      <c r="C19" s="80">
        <v>23</v>
      </c>
      <c r="D19" s="72">
        <f>C19-B19</f>
        <v>23</v>
      </c>
      <c r="E19" s="35">
        <v>3</v>
      </c>
      <c r="F19" s="35">
        <f t="shared" si="0"/>
        <v>69</v>
      </c>
      <c r="G19" s="89" t="s">
        <v>110</v>
      </c>
      <c r="H19" s="89"/>
      <c r="I19" s="64" t="s">
        <v>105</v>
      </c>
      <c r="J19" s="64"/>
      <c r="K19" s="81">
        <f t="shared" ref="K19:L43" si="1">B19-6628</f>
        <v>-6628</v>
      </c>
      <c r="L19" s="81">
        <f t="shared" si="1"/>
        <v>-6605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0</v>
      </c>
      <c r="C20" s="80">
        <v>487</v>
      </c>
      <c r="D20" s="72">
        <f>C20-B20</f>
        <v>487</v>
      </c>
      <c r="E20" s="35">
        <v>3</v>
      </c>
      <c r="F20" s="35">
        <f t="shared" si="0"/>
        <v>1461</v>
      </c>
      <c r="G20" s="89" t="s">
        <v>129</v>
      </c>
      <c r="H20" s="89">
        <v>1</v>
      </c>
      <c r="I20" s="64" t="s">
        <v>105</v>
      </c>
      <c r="J20" s="64">
        <v>70</v>
      </c>
      <c r="K20" s="81">
        <f t="shared" si="1"/>
        <v>-6628</v>
      </c>
      <c r="L20" s="81">
        <f t="shared" si="1"/>
        <v>-6141</v>
      </c>
      <c r="O20" s="60"/>
      <c r="R20" s="59"/>
    </row>
    <row r="21" spans="1:18" ht="17.100000000000001" customHeight="1" x14ac:dyDescent="0.25">
      <c r="A21" s="78"/>
      <c r="B21" s="193" t="s">
        <v>314</v>
      </c>
      <c r="C21" s="194"/>
      <c r="D21" s="194"/>
      <c r="E21" s="194"/>
      <c r="F21" s="194"/>
      <c r="G21" s="194"/>
      <c r="H21" s="194"/>
      <c r="I21" s="195"/>
      <c r="J21" s="64"/>
      <c r="K21" s="81"/>
      <c r="L21" s="81"/>
      <c r="O21" s="60" t="s">
        <v>121</v>
      </c>
      <c r="R21" s="59">
        <v>3</v>
      </c>
    </row>
    <row r="22" spans="1:18" ht="17.100000000000001" customHeight="1" x14ac:dyDescent="0.25">
      <c r="A22" s="78" t="s">
        <v>21</v>
      </c>
      <c r="B22" s="80">
        <v>23</v>
      </c>
      <c r="C22" s="80">
        <v>24</v>
      </c>
      <c r="D22" s="72">
        <v>1</v>
      </c>
      <c r="E22" s="35">
        <v>1</v>
      </c>
      <c r="F22" s="35">
        <f t="shared" si="0"/>
        <v>1</v>
      </c>
      <c r="G22" s="89" t="s">
        <v>130</v>
      </c>
      <c r="H22" s="89">
        <v>2</v>
      </c>
      <c r="I22" s="64" t="s">
        <v>102</v>
      </c>
      <c r="J22" s="64">
        <v>71</v>
      </c>
      <c r="K22" s="81">
        <f t="shared" si="1"/>
        <v>-6605</v>
      </c>
      <c r="L22" s="81">
        <f t="shared" si="1"/>
        <v>-6604</v>
      </c>
      <c r="O22" s="60" t="s">
        <v>122</v>
      </c>
      <c r="R22" s="58" t="s">
        <v>99</v>
      </c>
    </row>
    <row r="23" spans="1:18" ht="17.100000000000001" customHeight="1" x14ac:dyDescent="0.25">
      <c r="A23" s="78" t="s">
        <v>21</v>
      </c>
      <c r="B23" s="80">
        <v>69</v>
      </c>
      <c r="C23" s="80">
        <v>70</v>
      </c>
      <c r="D23" s="72">
        <v>1</v>
      </c>
      <c r="E23" s="35">
        <v>0.5</v>
      </c>
      <c r="F23" s="35">
        <f>E23*D23</f>
        <v>0.5</v>
      </c>
      <c r="G23" s="89" t="s">
        <v>120</v>
      </c>
      <c r="H23" s="89">
        <v>2</v>
      </c>
      <c r="I23" s="64" t="s">
        <v>99</v>
      </c>
      <c r="J23" s="64">
        <v>72</v>
      </c>
      <c r="K23" s="81">
        <f t="shared" si="1"/>
        <v>-6559</v>
      </c>
      <c r="L23" s="81">
        <f t="shared" si="1"/>
        <v>-6558</v>
      </c>
      <c r="O23" s="60" t="s">
        <v>123</v>
      </c>
      <c r="R23" s="58" t="s">
        <v>100</v>
      </c>
    </row>
    <row r="24" spans="1:18" ht="17.100000000000001" customHeight="1" x14ac:dyDescent="0.25">
      <c r="A24" s="78" t="s">
        <v>21</v>
      </c>
      <c r="B24" s="80">
        <v>83</v>
      </c>
      <c r="C24" s="80"/>
      <c r="D24" s="90">
        <v>0.5</v>
      </c>
      <c r="E24" s="35">
        <v>0.5</v>
      </c>
      <c r="F24" s="35">
        <f>E24*D24</f>
        <v>0.25</v>
      </c>
      <c r="G24" s="89" t="s">
        <v>127</v>
      </c>
      <c r="H24" s="89"/>
      <c r="I24" s="64" t="s">
        <v>103</v>
      </c>
      <c r="J24" s="64">
        <v>73</v>
      </c>
      <c r="K24" s="81">
        <f t="shared" si="1"/>
        <v>-6545</v>
      </c>
      <c r="L24" s="81"/>
      <c r="O24" s="60" t="s">
        <v>124</v>
      </c>
      <c r="R24" s="58" t="s">
        <v>101</v>
      </c>
    </row>
    <row r="25" spans="1:18" ht="17.100000000000001" customHeight="1" x14ac:dyDescent="0.25">
      <c r="A25" s="78" t="s">
        <v>21</v>
      </c>
      <c r="B25" s="80">
        <v>87</v>
      </c>
      <c r="C25" s="80">
        <v>88</v>
      </c>
      <c r="D25" s="72">
        <v>1</v>
      </c>
      <c r="E25" s="35">
        <v>0.5</v>
      </c>
      <c r="F25" s="35">
        <f>E25*D25</f>
        <v>0.5</v>
      </c>
      <c r="G25" s="89" t="s">
        <v>130</v>
      </c>
      <c r="H25" s="89">
        <v>2</v>
      </c>
      <c r="I25" s="64" t="s">
        <v>103</v>
      </c>
      <c r="J25" s="64">
        <v>74</v>
      </c>
      <c r="K25" s="81">
        <f t="shared" si="1"/>
        <v>-6541</v>
      </c>
      <c r="L25" s="81">
        <f t="shared" si="1"/>
        <v>-6540</v>
      </c>
      <c r="M25" s="1"/>
      <c r="O25" s="60" t="s">
        <v>129</v>
      </c>
      <c r="R25" s="58" t="s">
        <v>102</v>
      </c>
    </row>
    <row r="26" spans="1:18" ht="17.100000000000001" customHeight="1" x14ac:dyDescent="0.25">
      <c r="A26" s="78" t="s">
        <v>21</v>
      </c>
      <c r="B26" s="80">
        <v>92</v>
      </c>
      <c r="C26" s="80">
        <v>149</v>
      </c>
      <c r="D26" s="72">
        <f>C26-B26</f>
        <v>57</v>
      </c>
      <c r="E26" s="35">
        <v>0.5</v>
      </c>
      <c r="F26" s="35">
        <f>E26*D26</f>
        <v>28.5</v>
      </c>
      <c r="G26" s="89" t="s">
        <v>155</v>
      </c>
      <c r="H26" s="89">
        <v>1</v>
      </c>
      <c r="I26" s="64" t="s">
        <v>102</v>
      </c>
      <c r="J26" s="64"/>
      <c r="K26" s="81">
        <f t="shared" si="1"/>
        <v>-6536</v>
      </c>
      <c r="L26" s="81">
        <f t="shared" si="1"/>
        <v>-6479</v>
      </c>
      <c r="O26" s="60" t="s">
        <v>130</v>
      </c>
      <c r="R26" s="58" t="s">
        <v>103</v>
      </c>
    </row>
    <row r="27" spans="1:18" ht="17.100000000000001" customHeight="1" x14ac:dyDescent="0.25">
      <c r="A27" s="78" t="s">
        <v>21</v>
      </c>
      <c r="B27" s="80">
        <v>93</v>
      </c>
      <c r="C27" s="80">
        <v>94</v>
      </c>
      <c r="D27" s="72">
        <v>1</v>
      </c>
      <c r="E27" s="35">
        <v>1</v>
      </c>
      <c r="F27" s="35">
        <f>E27*D27</f>
        <v>1</v>
      </c>
      <c r="G27" s="89" t="s">
        <v>155</v>
      </c>
      <c r="H27" s="89">
        <v>1</v>
      </c>
      <c r="I27" s="64" t="s">
        <v>103</v>
      </c>
      <c r="J27" s="64"/>
      <c r="K27" s="81">
        <f t="shared" si="1"/>
        <v>-6535</v>
      </c>
      <c r="L27" s="81">
        <f t="shared" si="1"/>
        <v>-6534</v>
      </c>
      <c r="O27" s="60" t="s">
        <v>125</v>
      </c>
      <c r="R27" s="58" t="s">
        <v>104</v>
      </c>
    </row>
    <row r="28" spans="1:18" ht="17.100000000000001" customHeight="1" x14ac:dyDescent="0.25">
      <c r="A28" s="78" t="s">
        <v>21</v>
      </c>
      <c r="B28" s="80">
        <v>100</v>
      </c>
      <c r="C28" s="80">
        <v>101</v>
      </c>
      <c r="D28" s="72">
        <v>1</v>
      </c>
      <c r="E28" s="35">
        <v>1</v>
      </c>
      <c r="F28" s="35">
        <f t="shared" si="0"/>
        <v>1</v>
      </c>
      <c r="G28" s="89" t="s">
        <v>155</v>
      </c>
      <c r="H28" s="89">
        <v>1</v>
      </c>
      <c r="I28" s="64" t="s">
        <v>103</v>
      </c>
      <c r="J28" s="64"/>
      <c r="K28" s="81">
        <f t="shared" si="1"/>
        <v>-6528</v>
      </c>
      <c r="L28" s="81">
        <f t="shared" si="1"/>
        <v>-6527</v>
      </c>
      <c r="O28" s="60" t="s">
        <v>126</v>
      </c>
      <c r="R28" s="58" t="s">
        <v>99</v>
      </c>
    </row>
    <row r="29" spans="1:18" ht="17.100000000000001" customHeight="1" x14ac:dyDescent="0.25">
      <c r="A29" s="78" t="s">
        <v>21</v>
      </c>
      <c r="B29" s="80">
        <v>108</v>
      </c>
      <c r="C29" s="80"/>
      <c r="D29" s="90">
        <v>0.5</v>
      </c>
      <c r="E29" s="35">
        <v>3</v>
      </c>
      <c r="F29" s="35">
        <f t="shared" si="0"/>
        <v>1.5</v>
      </c>
      <c r="G29" s="89" t="s">
        <v>269</v>
      </c>
      <c r="H29" s="89"/>
      <c r="I29" s="64" t="s">
        <v>105</v>
      </c>
      <c r="J29" s="64"/>
      <c r="K29" s="81">
        <f t="shared" si="1"/>
        <v>-6520</v>
      </c>
      <c r="L29" s="81"/>
      <c r="O29" s="60" t="s">
        <v>107</v>
      </c>
      <c r="R29" s="58" t="s">
        <v>105</v>
      </c>
    </row>
    <row r="30" spans="1:18" ht="17.100000000000001" customHeight="1" x14ac:dyDescent="0.25">
      <c r="A30" s="78" t="s">
        <v>21</v>
      </c>
      <c r="B30" s="80">
        <v>126</v>
      </c>
      <c r="C30" s="80"/>
      <c r="D30" s="90">
        <v>0.5</v>
      </c>
      <c r="E30" s="35">
        <v>0.5</v>
      </c>
      <c r="F30" s="35">
        <f t="shared" si="0"/>
        <v>0.25</v>
      </c>
      <c r="G30" s="89" t="s">
        <v>130</v>
      </c>
      <c r="H30" s="89">
        <v>2</v>
      </c>
      <c r="I30" s="64" t="s">
        <v>99</v>
      </c>
      <c r="J30" s="64">
        <v>75</v>
      </c>
      <c r="K30" s="81">
        <f t="shared" si="1"/>
        <v>-6502</v>
      </c>
      <c r="L30" s="81"/>
      <c r="O30" s="60"/>
      <c r="R30" s="58"/>
    </row>
    <row r="31" spans="1:18" ht="17.100000000000001" customHeight="1" x14ac:dyDescent="0.25">
      <c r="A31" s="78" t="s">
        <v>21</v>
      </c>
      <c r="B31" s="80">
        <v>154</v>
      </c>
      <c r="C31" s="80"/>
      <c r="D31" s="90">
        <v>0.5</v>
      </c>
      <c r="E31" s="35">
        <v>0.5</v>
      </c>
      <c r="F31" s="35">
        <f>E31*D31</f>
        <v>0.25</v>
      </c>
      <c r="G31" s="89" t="s">
        <v>127</v>
      </c>
      <c r="H31" s="89"/>
      <c r="I31" s="64" t="s">
        <v>102</v>
      </c>
      <c r="J31" s="64">
        <v>76</v>
      </c>
      <c r="K31" s="81">
        <f t="shared" si="1"/>
        <v>-6474</v>
      </c>
      <c r="L31" s="81"/>
      <c r="O31" s="60" t="s">
        <v>127</v>
      </c>
    </row>
    <row r="32" spans="1:18" ht="17.100000000000001" customHeight="1" x14ac:dyDescent="0.25">
      <c r="A32" s="78" t="s">
        <v>21</v>
      </c>
      <c r="B32" s="80">
        <v>155</v>
      </c>
      <c r="C32" s="80"/>
      <c r="D32" s="90">
        <v>0.5</v>
      </c>
      <c r="E32" s="35">
        <v>0.5</v>
      </c>
      <c r="F32" s="35">
        <f t="shared" ref="F32" si="2">E32*D32</f>
        <v>0.25</v>
      </c>
      <c r="G32" s="89" t="s">
        <v>127</v>
      </c>
      <c r="H32" s="89"/>
      <c r="I32" s="64" t="s">
        <v>102</v>
      </c>
      <c r="J32" s="64">
        <v>76</v>
      </c>
      <c r="K32" s="81">
        <f t="shared" si="1"/>
        <v>-6473</v>
      </c>
      <c r="L32" s="81"/>
      <c r="O32" s="60" t="s">
        <v>156</v>
      </c>
    </row>
    <row r="33" spans="1:21" ht="17.100000000000001" customHeight="1" x14ac:dyDescent="0.25">
      <c r="A33" s="78" t="s">
        <v>21</v>
      </c>
      <c r="B33" s="80">
        <v>179</v>
      </c>
      <c r="C33" s="80"/>
      <c r="D33" s="90">
        <v>0.5</v>
      </c>
      <c r="E33" s="35">
        <v>1</v>
      </c>
      <c r="F33" s="35">
        <f>E33*D33</f>
        <v>0.5</v>
      </c>
      <c r="G33" s="89" t="s">
        <v>155</v>
      </c>
      <c r="H33" s="89">
        <v>1</v>
      </c>
      <c r="I33" s="64" t="s">
        <v>103</v>
      </c>
      <c r="J33" s="64"/>
      <c r="K33" s="81">
        <f t="shared" si="1"/>
        <v>-6449</v>
      </c>
      <c r="L33" s="81"/>
      <c r="O33" s="61" t="s">
        <v>128</v>
      </c>
    </row>
    <row r="34" spans="1:21" ht="17.100000000000001" customHeight="1" x14ac:dyDescent="0.25">
      <c r="A34" s="78" t="s">
        <v>21</v>
      </c>
      <c r="B34" s="80">
        <v>180</v>
      </c>
      <c r="C34" s="80"/>
      <c r="D34" s="90">
        <v>0.5</v>
      </c>
      <c r="E34" s="35">
        <v>0.5</v>
      </c>
      <c r="F34" s="35">
        <f>E34*D34</f>
        <v>0.25</v>
      </c>
      <c r="G34" s="89" t="s">
        <v>122</v>
      </c>
      <c r="H34" s="89">
        <v>2</v>
      </c>
      <c r="I34" s="64" t="s">
        <v>103</v>
      </c>
      <c r="J34" s="64">
        <v>77</v>
      </c>
      <c r="K34" s="81">
        <f t="shared" si="1"/>
        <v>-6448</v>
      </c>
      <c r="L34" s="81"/>
      <c r="O34" s="63" t="s">
        <v>155</v>
      </c>
    </row>
    <row r="35" spans="1:21" ht="17.100000000000001" customHeight="1" x14ac:dyDescent="0.25">
      <c r="A35" s="78" t="s">
        <v>21</v>
      </c>
      <c r="B35" s="80">
        <v>202</v>
      </c>
      <c r="C35" s="80">
        <v>212</v>
      </c>
      <c r="D35" s="72">
        <f>C35-B35</f>
        <v>10</v>
      </c>
      <c r="E35" s="35">
        <v>0.5</v>
      </c>
      <c r="F35" s="35">
        <f>E35*D35</f>
        <v>5</v>
      </c>
      <c r="G35" s="89" t="s">
        <v>150</v>
      </c>
      <c r="H35" s="89" t="s">
        <v>100</v>
      </c>
      <c r="I35" s="64" t="s">
        <v>102</v>
      </c>
      <c r="J35" s="64">
        <v>78</v>
      </c>
      <c r="K35" s="81">
        <f t="shared" si="1"/>
        <v>-6426</v>
      </c>
      <c r="L35" s="81">
        <f t="shared" si="1"/>
        <v>-6416</v>
      </c>
      <c r="O35" s="62" t="s">
        <v>150</v>
      </c>
    </row>
    <row r="36" spans="1:21" ht="17.100000000000001" customHeight="1" x14ac:dyDescent="0.25">
      <c r="A36" s="78" t="s">
        <v>21</v>
      </c>
      <c r="B36" s="80">
        <v>256</v>
      </c>
      <c r="C36" s="80"/>
      <c r="D36" s="90">
        <v>0.5</v>
      </c>
      <c r="E36" s="35">
        <v>3</v>
      </c>
      <c r="F36" s="35">
        <f t="shared" si="0"/>
        <v>1.5</v>
      </c>
      <c r="G36" s="89" t="s">
        <v>269</v>
      </c>
      <c r="H36" s="83"/>
      <c r="I36" s="64" t="s">
        <v>105</v>
      </c>
      <c r="J36" s="64"/>
      <c r="K36" s="81">
        <f t="shared" si="1"/>
        <v>-6372</v>
      </c>
      <c r="L36" s="81"/>
      <c r="O36" s="62" t="s">
        <v>107</v>
      </c>
    </row>
    <row r="37" spans="1:21" ht="17.100000000000001" customHeight="1" x14ac:dyDescent="0.25">
      <c r="A37" s="78" t="s">
        <v>21</v>
      </c>
      <c r="B37" s="80">
        <v>663</v>
      </c>
      <c r="C37" s="80">
        <v>666</v>
      </c>
      <c r="D37" s="72">
        <f>C37-B37</f>
        <v>3</v>
      </c>
      <c r="E37" s="35">
        <v>0.5</v>
      </c>
      <c r="F37" s="35">
        <f t="shared" ref="F37:F43" si="3">E37*D37</f>
        <v>1.5</v>
      </c>
      <c r="G37" s="89" t="s">
        <v>120</v>
      </c>
      <c r="H37" s="89">
        <v>2</v>
      </c>
      <c r="I37" s="64" t="s">
        <v>99</v>
      </c>
      <c r="J37" s="64">
        <v>79</v>
      </c>
      <c r="K37" s="81">
        <f t="shared" si="1"/>
        <v>-5965</v>
      </c>
      <c r="L37" s="81">
        <f t="shared" si="1"/>
        <v>-5962</v>
      </c>
      <c r="O37" s="62" t="s">
        <v>112</v>
      </c>
    </row>
    <row r="38" spans="1:21" ht="17.100000000000001" customHeight="1" x14ac:dyDescent="0.25">
      <c r="A38" s="78" t="s">
        <v>21</v>
      </c>
      <c r="B38" s="80">
        <v>987</v>
      </c>
      <c r="C38" s="80">
        <v>1000</v>
      </c>
      <c r="D38" s="72">
        <f>C38-B38</f>
        <v>13</v>
      </c>
      <c r="E38" s="35">
        <v>0.5</v>
      </c>
      <c r="F38" s="35">
        <f t="shared" si="3"/>
        <v>6.5</v>
      </c>
      <c r="G38" s="89" t="s">
        <v>130</v>
      </c>
      <c r="H38" s="89" t="s">
        <v>289</v>
      </c>
      <c r="I38" s="64" t="s">
        <v>103</v>
      </c>
      <c r="J38" s="64">
        <v>80</v>
      </c>
      <c r="K38" s="81">
        <f t="shared" si="1"/>
        <v>-5641</v>
      </c>
      <c r="L38" s="81">
        <f t="shared" si="1"/>
        <v>-5628</v>
      </c>
      <c r="O38" s="62" t="s">
        <v>148</v>
      </c>
    </row>
    <row r="39" spans="1:21" ht="17.100000000000001" customHeight="1" x14ac:dyDescent="0.25">
      <c r="A39" s="78" t="s">
        <v>21</v>
      </c>
      <c r="B39" s="80">
        <v>1151</v>
      </c>
      <c r="C39" s="80"/>
      <c r="D39" s="90">
        <v>0.5</v>
      </c>
      <c r="E39" s="35">
        <v>0.5</v>
      </c>
      <c r="F39" s="35">
        <f t="shared" si="3"/>
        <v>0.25</v>
      </c>
      <c r="G39" s="89" t="s">
        <v>120</v>
      </c>
      <c r="H39" s="89">
        <v>2</v>
      </c>
      <c r="I39" s="64" t="s">
        <v>103</v>
      </c>
      <c r="J39" s="64">
        <v>81</v>
      </c>
      <c r="K39" s="81">
        <f t="shared" si="1"/>
        <v>-5477</v>
      </c>
      <c r="L39" s="81"/>
      <c r="M39" s="6"/>
      <c r="N39" s="6"/>
      <c r="O39" s="62" t="s">
        <v>108</v>
      </c>
      <c r="P39" s="6"/>
      <c r="Q39" s="6"/>
      <c r="R39" s="6"/>
      <c r="S39" s="27"/>
      <c r="T39" s="5"/>
      <c r="U39" s="5"/>
    </row>
    <row r="40" spans="1:21" ht="17.100000000000001" customHeight="1" x14ac:dyDescent="0.25">
      <c r="A40" s="78" t="s">
        <v>21</v>
      </c>
      <c r="B40" s="80">
        <v>1204</v>
      </c>
      <c r="C40" s="80">
        <v>1214</v>
      </c>
      <c r="D40" s="72">
        <f>C40-B40</f>
        <v>10</v>
      </c>
      <c r="E40" s="35">
        <v>2</v>
      </c>
      <c r="F40" s="35">
        <f t="shared" si="3"/>
        <v>20</v>
      </c>
      <c r="G40" s="89" t="s">
        <v>155</v>
      </c>
      <c r="H40" s="89">
        <v>1</v>
      </c>
      <c r="I40" s="64" t="s">
        <v>103</v>
      </c>
      <c r="J40" s="64"/>
      <c r="K40" s="81">
        <f t="shared" si="1"/>
        <v>-5424</v>
      </c>
      <c r="L40" s="81">
        <f t="shared" si="1"/>
        <v>-5414</v>
      </c>
      <c r="O40" s="62" t="s">
        <v>151</v>
      </c>
    </row>
    <row r="41" spans="1:21" ht="17.100000000000001" customHeight="1" x14ac:dyDescent="0.25">
      <c r="A41" s="78" t="s">
        <v>21</v>
      </c>
      <c r="B41" s="80">
        <v>1208</v>
      </c>
      <c r="C41" s="80"/>
      <c r="D41" s="90">
        <v>0.5</v>
      </c>
      <c r="E41" s="35">
        <v>0.5</v>
      </c>
      <c r="F41" s="35">
        <f t="shared" si="3"/>
        <v>0.25</v>
      </c>
      <c r="G41" s="89" t="s">
        <v>130</v>
      </c>
      <c r="H41" s="89">
        <v>2</v>
      </c>
      <c r="I41" s="64" t="s">
        <v>102</v>
      </c>
      <c r="J41" s="64">
        <v>82</v>
      </c>
      <c r="K41" s="81">
        <f t="shared" si="1"/>
        <v>-5420</v>
      </c>
      <c r="L41" s="81"/>
      <c r="M41" s="57"/>
      <c r="N41" s="5"/>
      <c r="O41" s="62" t="s">
        <v>149</v>
      </c>
      <c r="P41" s="5"/>
      <c r="Q41" s="5"/>
      <c r="R41" s="5"/>
      <c r="S41" s="5"/>
      <c r="T41" s="5"/>
      <c r="U41" s="27"/>
    </row>
    <row r="42" spans="1:21" ht="17.100000000000001" customHeight="1" x14ac:dyDescent="0.25">
      <c r="A42" s="78" t="s">
        <v>21</v>
      </c>
      <c r="B42" s="80">
        <v>1341</v>
      </c>
      <c r="C42" s="80">
        <v>1343</v>
      </c>
      <c r="D42" s="72">
        <f>C42-B42</f>
        <v>2</v>
      </c>
      <c r="E42" s="35">
        <v>0.5</v>
      </c>
      <c r="F42" s="35">
        <f t="shared" si="3"/>
        <v>1</v>
      </c>
      <c r="G42" s="89" t="s">
        <v>120</v>
      </c>
      <c r="H42" s="89">
        <v>2</v>
      </c>
      <c r="I42" s="64" t="s">
        <v>104</v>
      </c>
      <c r="J42" s="64">
        <v>83</v>
      </c>
      <c r="K42" s="81">
        <f t="shared" si="1"/>
        <v>-5287</v>
      </c>
      <c r="L42" s="81">
        <f t="shared" si="1"/>
        <v>-5285</v>
      </c>
      <c r="O42" s="62" t="s">
        <v>109</v>
      </c>
    </row>
    <row r="43" spans="1:21" ht="17.100000000000001" customHeight="1" thickBot="1" x14ac:dyDescent="0.3">
      <c r="A43" s="68" t="s">
        <v>21</v>
      </c>
      <c r="B43" s="84">
        <v>1347</v>
      </c>
      <c r="C43" s="84">
        <v>1348</v>
      </c>
      <c r="D43" s="85">
        <v>1</v>
      </c>
      <c r="E43" s="55">
        <v>0.5</v>
      </c>
      <c r="F43" s="55">
        <f t="shared" si="3"/>
        <v>0.5</v>
      </c>
      <c r="G43" s="102" t="s">
        <v>120</v>
      </c>
      <c r="H43" s="102">
        <v>2</v>
      </c>
      <c r="I43" s="69" t="s">
        <v>103</v>
      </c>
      <c r="J43" s="69">
        <v>84</v>
      </c>
      <c r="K43" s="81">
        <f t="shared" si="1"/>
        <v>-5281</v>
      </c>
      <c r="L43" s="81">
        <f t="shared" si="1"/>
        <v>-5280</v>
      </c>
      <c r="O43" s="62" t="s">
        <v>152</v>
      </c>
      <c r="P43" s="5"/>
      <c r="Q43" s="5"/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4">SUMIF($G$18:$G$43,E44,$F$18:$F$43)</f>
        <v>0</v>
      </c>
      <c r="G44" s="70" t="s">
        <v>129</v>
      </c>
      <c r="H44" s="71">
        <f>SUMIF($G$18:$G$43,G44,$F$18:$F$43)</f>
        <v>1461</v>
      </c>
      <c r="I44" s="70" t="s">
        <v>107</v>
      </c>
      <c r="J44" s="71">
        <f>SUMIF($G$18:$G$43,I44,$F$18:$F$43)</f>
        <v>0</v>
      </c>
      <c r="K44" s="81"/>
      <c r="L44" s="81"/>
      <c r="O44" s="62" t="s">
        <v>106</v>
      </c>
    </row>
    <row r="45" spans="1:21" ht="16.95" customHeight="1" x14ac:dyDescent="0.25">
      <c r="A45" s="64" t="s">
        <v>21</v>
      </c>
      <c r="B45" s="35">
        <v>3</v>
      </c>
      <c r="C45" s="35">
        <v>1347</v>
      </c>
      <c r="D45" s="35">
        <f t="shared" ref="D45:D46" si="5">SUM(C45*B45)</f>
        <v>4041</v>
      </c>
      <c r="E45" s="64" t="s">
        <v>120</v>
      </c>
      <c r="F45" s="35">
        <f t="shared" si="4"/>
        <v>3.75</v>
      </c>
      <c r="G45" s="64" t="s">
        <v>130</v>
      </c>
      <c r="H45" s="35">
        <f>SUMIF($G$18:$G$43,G45,$F$18:$F$43)</f>
        <v>8.5</v>
      </c>
      <c r="I45" s="64" t="s">
        <v>127</v>
      </c>
      <c r="J45" s="35">
        <f>SUMIF($G$18:$G$43,I45,$F$18:$F$43)</f>
        <v>0.75</v>
      </c>
      <c r="K45" s="81"/>
      <c r="L45" s="81"/>
      <c r="O45" s="62" t="s">
        <v>110</v>
      </c>
    </row>
    <row r="46" spans="1:21" ht="17.100000000000001" customHeight="1" x14ac:dyDescent="0.25">
      <c r="A46" s="64" t="s">
        <v>268</v>
      </c>
      <c r="B46" s="35">
        <v>3</v>
      </c>
      <c r="C46" s="35">
        <v>23</v>
      </c>
      <c r="D46" s="35">
        <f t="shared" si="5"/>
        <v>69</v>
      </c>
      <c r="E46" s="64" t="s">
        <v>121</v>
      </c>
      <c r="F46" s="35">
        <f t="shared" si="4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 t="s">
        <v>111</v>
      </c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4"/>
        <v>0.25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4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1370</v>
      </c>
      <c r="D49" s="35">
        <f>SUM(D45:D47)</f>
        <v>4110</v>
      </c>
      <c r="E49" s="64" t="s">
        <v>124</v>
      </c>
      <c r="F49" s="35">
        <f t="shared" si="4"/>
        <v>0</v>
      </c>
      <c r="G49" s="64"/>
      <c r="H49" s="64"/>
      <c r="I49" s="64"/>
      <c r="J49" s="64"/>
      <c r="O49" s="62"/>
    </row>
    <row r="50" spans="1:15" ht="17.100000000000001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  <c r="O50" s="62"/>
    </row>
    <row r="51" spans="1:15" ht="17.100000000000001" customHeight="1" thickTop="1" x14ac:dyDescent="0.25">
      <c r="A51" s="74" t="s">
        <v>13</v>
      </c>
      <c r="D51" s="57"/>
      <c r="G51" s="57"/>
      <c r="J51" s="19"/>
      <c r="O51" s="62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6.5" customHeight="1" x14ac:dyDescent="0.25">
      <c r="A53" s="26" t="s">
        <v>140</v>
      </c>
      <c r="C53" s="5"/>
      <c r="I53" s="5"/>
      <c r="J53" s="25"/>
    </row>
    <row r="54" spans="1:15" ht="16.5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7.100000000000001" customHeight="1" x14ac:dyDescent="0.25">
      <c r="A56" s="24" t="s">
        <v>141</v>
      </c>
      <c r="B56" s="5"/>
      <c r="C56" s="5"/>
      <c r="J56" s="19"/>
    </row>
    <row r="57" spans="1:15" ht="17.100000000000001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6.5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6.5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7.100000000000001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7.100000000000001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6.5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6.5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21:I21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18:G20 G22:G28 G31:G35 G37:G43" xr:uid="{B487FE2E-244A-42C1-B6CF-E8229B615789}">
      <formula1>$O$17:$O$50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52BA-D88D-49CA-A340-A02FE3BF998F}">
  <sheetPr>
    <pageSetUpPr fitToPage="1"/>
  </sheetPr>
  <dimension ref="A1:W71"/>
  <sheetViews>
    <sheetView topLeftCell="A11" zoomScaleNormal="100" workbookViewId="0">
      <selection activeCell="P14" sqref="P14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194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161</v>
      </c>
      <c r="G8" s="162" t="s">
        <v>164</v>
      </c>
      <c r="H8" s="163"/>
      <c r="I8" s="166">
        <v>45239</v>
      </c>
      <c r="J8" s="167"/>
      <c r="K8" t="s">
        <v>251</v>
      </c>
      <c r="M8">
        <v>6628</v>
      </c>
      <c r="O8">
        <f>8888-6628</f>
        <v>2260</v>
      </c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252</v>
      </c>
      <c r="M9">
        <v>8888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193</v>
      </c>
      <c r="G11" s="143"/>
      <c r="H11" s="178"/>
      <c r="I11" s="180" t="s">
        <v>330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369</v>
      </c>
      <c r="H14" s="79" t="s">
        <v>371</v>
      </c>
      <c r="I14" s="177" t="s">
        <v>253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370</v>
      </c>
      <c r="H15" s="79" t="s">
        <v>372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1348</v>
      </c>
      <c r="C18" s="80"/>
      <c r="D18" s="90">
        <v>0.5</v>
      </c>
      <c r="E18" s="35">
        <v>2</v>
      </c>
      <c r="F18" s="35">
        <f t="shared" ref="F18" si="0">E18*D18</f>
        <v>1</v>
      </c>
      <c r="G18" s="89" t="s">
        <v>126</v>
      </c>
      <c r="H18" s="89">
        <v>2</v>
      </c>
      <c r="I18" s="64" t="s">
        <v>99</v>
      </c>
      <c r="J18" s="64">
        <v>85</v>
      </c>
      <c r="K18" s="81">
        <f>B18-6628</f>
        <v>-5280</v>
      </c>
      <c r="L18" s="81"/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1487</v>
      </c>
      <c r="C19" s="80">
        <v>1492</v>
      </c>
      <c r="D19" s="72">
        <f>C19-B19</f>
        <v>5</v>
      </c>
      <c r="E19" s="35">
        <v>0.5</v>
      </c>
      <c r="F19" s="35">
        <f t="shared" ref="F19" si="1">E19*D19</f>
        <v>2.5</v>
      </c>
      <c r="G19" s="89" t="s">
        <v>120</v>
      </c>
      <c r="H19" s="89">
        <v>2</v>
      </c>
      <c r="I19" s="64" t="s">
        <v>103</v>
      </c>
      <c r="J19" s="64">
        <v>86</v>
      </c>
      <c r="K19" s="81">
        <f t="shared" ref="K19:L34" si="2">B19-6628</f>
        <v>-5141</v>
      </c>
      <c r="L19" s="81">
        <f t="shared" si="2"/>
        <v>-5136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1538</v>
      </c>
      <c r="C20" s="80">
        <v>1542</v>
      </c>
      <c r="D20" s="72">
        <f>C20-B20</f>
        <v>4</v>
      </c>
      <c r="E20" s="35">
        <v>0.5</v>
      </c>
      <c r="F20" s="35">
        <f t="shared" ref="F20:F24" si="3">E20*D20</f>
        <v>2</v>
      </c>
      <c r="G20" s="89" t="s">
        <v>120</v>
      </c>
      <c r="H20" s="89">
        <v>2</v>
      </c>
      <c r="I20" s="64" t="s">
        <v>103</v>
      </c>
      <c r="J20" s="64">
        <v>87</v>
      </c>
      <c r="K20" s="81">
        <f t="shared" si="2"/>
        <v>-5090</v>
      </c>
      <c r="L20" s="81">
        <f t="shared" si="2"/>
        <v>-5086</v>
      </c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1559</v>
      </c>
      <c r="C21" s="80">
        <v>1562</v>
      </c>
      <c r="D21" s="72">
        <f>C21-B21</f>
        <v>3</v>
      </c>
      <c r="E21" s="35">
        <v>0.5</v>
      </c>
      <c r="F21" s="35">
        <f t="shared" si="3"/>
        <v>1.5</v>
      </c>
      <c r="G21" s="89" t="s">
        <v>120</v>
      </c>
      <c r="H21" s="89">
        <v>2</v>
      </c>
      <c r="I21" s="64" t="s">
        <v>103</v>
      </c>
      <c r="J21" s="64">
        <v>88</v>
      </c>
      <c r="K21" s="81">
        <f t="shared" si="2"/>
        <v>-5069</v>
      </c>
      <c r="L21" s="81">
        <f t="shared" si="2"/>
        <v>-5066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</v>
      </c>
      <c r="B22" s="72">
        <v>1625</v>
      </c>
      <c r="C22" s="72">
        <v>1627</v>
      </c>
      <c r="D22" s="72">
        <f>C22-B22</f>
        <v>2</v>
      </c>
      <c r="E22" s="35">
        <v>0.5</v>
      </c>
      <c r="F22" s="35">
        <f t="shared" si="3"/>
        <v>1</v>
      </c>
      <c r="G22" s="35" t="s">
        <v>119</v>
      </c>
      <c r="H22" s="72">
        <v>1</v>
      </c>
      <c r="I22" s="35" t="s">
        <v>103</v>
      </c>
      <c r="J22" s="64">
        <v>89</v>
      </c>
      <c r="K22" s="81">
        <f t="shared" si="2"/>
        <v>-5003</v>
      </c>
      <c r="L22" s="81">
        <f t="shared" si="2"/>
        <v>-5001</v>
      </c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1692</v>
      </c>
      <c r="C23" s="80"/>
      <c r="D23" s="90">
        <v>0.5</v>
      </c>
      <c r="E23" s="35">
        <v>0.5</v>
      </c>
      <c r="F23" s="35">
        <f>E23*D23</f>
        <v>0.25</v>
      </c>
      <c r="G23" s="89" t="s">
        <v>393</v>
      </c>
      <c r="H23" s="89"/>
      <c r="I23" s="64" t="s">
        <v>103</v>
      </c>
      <c r="J23" s="64">
        <v>90</v>
      </c>
      <c r="K23" s="81">
        <f t="shared" si="2"/>
        <v>-4936</v>
      </c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1752</v>
      </c>
      <c r="C24" s="80">
        <v>1757</v>
      </c>
      <c r="D24" s="72">
        <f t="shared" ref="D24:D29" si="4">C24-B24</f>
        <v>5</v>
      </c>
      <c r="E24" s="35">
        <v>0.5</v>
      </c>
      <c r="F24" s="35">
        <f t="shared" si="3"/>
        <v>2.5</v>
      </c>
      <c r="G24" s="89" t="s">
        <v>119</v>
      </c>
      <c r="H24" s="89">
        <v>1</v>
      </c>
      <c r="I24" s="64" t="s">
        <v>103</v>
      </c>
      <c r="J24" s="64">
        <v>91</v>
      </c>
      <c r="K24" s="81">
        <f t="shared" si="2"/>
        <v>-4876</v>
      </c>
      <c r="L24" s="81">
        <f t="shared" si="2"/>
        <v>-4871</v>
      </c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1842</v>
      </c>
      <c r="C25" s="80">
        <v>1894</v>
      </c>
      <c r="D25" s="72">
        <f t="shared" si="4"/>
        <v>52</v>
      </c>
      <c r="E25" s="35">
        <v>1</v>
      </c>
      <c r="F25" s="35">
        <f t="shared" ref="F25:F31" si="5">E25*D25</f>
        <v>52</v>
      </c>
      <c r="G25" s="89" t="s">
        <v>122</v>
      </c>
      <c r="H25" s="89">
        <v>2</v>
      </c>
      <c r="I25" s="64" t="s">
        <v>103</v>
      </c>
      <c r="J25" s="64">
        <v>92</v>
      </c>
      <c r="K25" s="81">
        <f t="shared" si="2"/>
        <v>-4786</v>
      </c>
      <c r="L25" s="81">
        <f t="shared" si="2"/>
        <v>-4734</v>
      </c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1917</v>
      </c>
      <c r="C26" s="80">
        <v>1919</v>
      </c>
      <c r="D26" s="72">
        <f t="shared" si="4"/>
        <v>2</v>
      </c>
      <c r="E26" s="35">
        <v>0.5</v>
      </c>
      <c r="F26" s="35">
        <f>E26*D26</f>
        <v>1</v>
      </c>
      <c r="G26" s="89" t="s">
        <v>120</v>
      </c>
      <c r="H26" s="89">
        <v>2</v>
      </c>
      <c r="I26" s="64" t="s">
        <v>99</v>
      </c>
      <c r="J26" s="64">
        <v>93</v>
      </c>
      <c r="K26" s="81">
        <f t="shared" si="2"/>
        <v>-4711</v>
      </c>
      <c r="L26" s="81">
        <f t="shared" si="2"/>
        <v>-4709</v>
      </c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1933</v>
      </c>
      <c r="C27" s="80">
        <v>1943</v>
      </c>
      <c r="D27" s="72">
        <f t="shared" si="4"/>
        <v>10</v>
      </c>
      <c r="E27" s="35">
        <v>1</v>
      </c>
      <c r="F27" s="35">
        <f t="shared" si="5"/>
        <v>10</v>
      </c>
      <c r="G27" s="89" t="s">
        <v>130</v>
      </c>
      <c r="H27" s="89">
        <v>2</v>
      </c>
      <c r="I27" s="64" t="s">
        <v>104</v>
      </c>
      <c r="J27" s="64">
        <v>94</v>
      </c>
      <c r="K27" s="81">
        <f t="shared" si="2"/>
        <v>-4695</v>
      </c>
      <c r="L27" s="81">
        <f t="shared" si="2"/>
        <v>-4685</v>
      </c>
      <c r="O27" s="60" t="s">
        <v>126</v>
      </c>
      <c r="R27" s="58" t="s">
        <v>99</v>
      </c>
    </row>
    <row r="28" spans="1:18" ht="17.100000000000001" customHeight="1" x14ac:dyDescent="0.25">
      <c r="A28" s="78" t="s">
        <v>21</v>
      </c>
      <c r="B28" s="80">
        <v>1976</v>
      </c>
      <c r="C28" s="80">
        <v>1979</v>
      </c>
      <c r="D28" s="72">
        <f t="shared" si="4"/>
        <v>3</v>
      </c>
      <c r="E28" s="35">
        <v>0.5</v>
      </c>
      <c r="F28" s="35">
        <f t="shared" si="5"/>
        <v>1.5</v>
      </c>
      <c r="G28" s="89" t="s">
        <v>120</v>
      </c>
      <c r="H28" s="89">
        <v>2</v>
      </c>
      <c r="I28" s="64" t="s">
        <v>102</v>
      </c>
      <c r="J28" s="64">
        <v>95</v>
      </c>
      <c r="K28" s="81">
        <f t="shared" si="2"/>
        <v>-4652</v>
      </c>
      <c r="L28" s="81">
        <f t="shared" si="2"/>
        <v>-4649</v>
      </c>
      <c r="O28" s="60" t="s">
        <v>107</v>
      </c>
      <c r="R28" s="58" t="s">
        <v>105</v>
      </c>
    </row>
    <row r="29" spans="1:18" ht="17.100000000000001" customHeight="1" x14ac:dyDescent="0.25">
      <c r="A29" s="78" t="s">
        <v>21</v>
      </c>
      <c r="B29" s="80">
        <v>1983</v>
      </c>
      <c r="C29" s="80">
        <v>2011</v>
      </c>
      <c r="D29" s="72">
        <f t="shared" si="4"/>
        <v>28</v>
      </c>
      <c r="E29" s="35">
        <v>1.5</v>
      </c>
      <c r="F29" s="35">
        <f t="shared" si="5"/>
        <v>42</v>
      </c>
      <c r="G29" s="89" t="s">
        <v>130</v>
      </c>
      <c r="H29" s="89" t="s">
        <v>290</v>
      </c>
      <c r="I29" s="64" t="s">
        <v>102</v>
      </c>
      <c r="J29" s="64">
        <v>96</v>
      </c>
      <c r="K29" s="81">
        <f t="shared" si="2"/>
        <v>-4645</v>
      </c>
      <c r="L29" s="81">
        <f t="shared" si="2"/>
        <v>-4617</v>
      </c>
      <c r="O29" s="60" t="s">
        <v>127</v>
      </c>
    </row>
    <row r="30" spans="1:18" ht="17.100000000000001" customHeight="1" x14ac:dyDescent="0.25">
      <c r="A30" s="78" t="s">
        <v>21</v>
      </c>
      <c r="B30" s="80">
        <v>2122</v>
      </c>
      <c r="C30" s="80"/>
      <c r="D30" s="90">
        <v>0.5</v>
      </c>
      <c r="E30" s="35">
        <v>0.5</v>
      </c>
      <c r="F30" s="35">
        <f t="shared" si="5"/>
        <v>0.25</v>
      </c>
      <c r="G30" s="89" t="s">
        <v>130</v>
      </c>
      <c r="H30" s="89">
        <v>2</v>
      </c>
      <c r="I30" s="64" t="s">
        <v>99</v>
      </c>
      <c r="J30" s="64">
        <v>97</v>
      </c>
      <c r="K30" s="81">
        <f t="shared" si="2"/>
        <v>-4506</v>
      </c>
      <c r="L30" s="81"/>
      <c r="O30" s="60" t="s">
        <v>156</v>
      </c>
    </row>
    <row r="31" spans="1:18" ht="17.100000000000001" customHeight="1" x14ac:dyDescent="0.25">
      <c r="A31" s="78" t="s">
        <v>21</v>
      </c>
      <c r="B31" s="80">
        <v>2128</v>
      </c>
      <c r="C31" s="80">
        <v>2136</v>
      </c>
      <c r="D31" s="72">
        <f>C31-B31</f>
        <v>8</v>
      </c>
      <c r="E31" s="35">
        <v>0.5</v>
      </c>
      <c r="F31" s="35">
        <f t="shared" si="5"/>
        <v>4</v>
      </c>
      <c r="G31" s="89" t="s">
        <v>119</v>
      </c>
      <c r="H31" s="89">
        <v>1</v>
      </c>
      <c r="I31" s="64" t="s">
        <v>102</v>
      </c>
      <c r="J31" s="64">
        <v>98</v>
      </c>
      <c r="K31" s="81">
        <f t="shared" si="2"/>
        <v>-4500</v>
      </c>
      <c r="L31" s="81">
        <f t="shared" si="2"/>
        <v>-4492</v>
      </c>
      <c r="O31" s="61" t="s">
        <v>128</v>
      </c>
    </row>
    <row r="32" spans="1:18" ht="17.100000000000001" customHeight="1" x14ac:dyDescent="0.25">
      <c r="A32" s="78" t="s">
        <v>21</v>
      </c>
      <c r="B32" s="80">
        <v>2147</v>
      </c>
      <c r="C32" s="80">
        <v>2153</v>
      </c>
      <c r="D32" s="72">
        <f>C32-B32</f>
        <v>6</v>
      </c>
      <c r="E32" s="35">
        <v>0.5</v>
      </c>
      <c r="F32" s="35">
        <f t="shared" ref="F32" si="6">E32*D32</f>
        <v>3</v>
      </c>
      <c r="G32" s="89" t="s">
        <v>120</v>
      </c>
      <c r="H32" s="89">
        <v>2</v>
      </c>
      <c r="I32" s="64" t="s">
        <v>103</v>
      </c>
      <c r="J32" s="64">
        <v>99</v>
      </c>
      <c r="K32" s="81">
        <f t="shared" si="2"/>
        <v>-4481</v>
      </c>
      <c r="L32" s="81">
        <f t="shared" si="2"/>
        <v>-4475</v>
      </c>
      <c r="O32" s="63" t="s">
        <v>155</v>
      </c>
    </row>
    <row r="33" spans="1:21" ht="17.100000000000001" customHeight="1" x14ac:dyDescent="0.25">
      <c r="A33" s="78" t="s">
        <v>21</v>
      </c>
      <c r="B33" s="80">
        <v>2215</v>
      </c>
      <c r="C33" s="80"/>
      <c r="D33" s="90">
        <v>0.5</v>
      </c>
      <c r="E33" s="35">
        <v>0.5</v>
      </c>
      <c r="F33" s="35">
        <f>E33*D33</f>
        <v>0.25</v>
      </c>
      <c r="G33" s="89" t="s">
        <v>130</v>
      </c>
      <c r="H33" s="89">
        <v>2</v>
      </c>
      <c r="I33" s="64" t="s">
        <v>103</v>
      </c>
      <c r="J33" s="64">
        <v>100</v>
      </c>
      <c r="K33" s="81">
        <f t="shared" si="2"/>
        <v>-4413</v>
      </c>
      <c r="L33" s="81"/>
      <c r="O33" s="62" t="s">
        <v>150</v>
      </c>
    </row>
    <row r="34" spans="1:21" ht="17.100000000000001" customHeight="1" x14ac:dyDescent="0.25">
      <c r="A34" s="78" t="s">
        <v>21</v>
      </c>
      <c r="B34" s="80">
        <v>2239</v>
      </c>
      <c r="C34" s="80"/>
      <c r="D34" s="90">
        <v>0.5</v>
      </c>
      <c r="E34" s="35">
        <v>0.5</v>
      </c>
      <c r="F34" s="35">
        <f>E34*D34</f>
        <v>0.25</v>
      </c>
      <c r="G34" s="89" t="s">
        <v>127</v>
      </c>
      <c r="H34" s="89"/>
      <c r="I34" s="64" t="s">
        <v>103</v>
      </c>
      <c r="J34" s="64">
        <v>101</v>
      </c>
      <c r="K34" s="81">
        <f t="shared" si="2"/>
        <v>-4389</v>
      </c>
      <c r="L34" s="81"/>
      <c r="O34" s="62" t="s">
        <v>107</v>
      </c>
    </row>
    <row r="35" spans="1:21" ht="17.100000000000001" customHeight="1" x14ac:dyDescent="0.25">
      <c r="A35" s="78"/>
      <c r="B35" s="193" t="s">
        <v>291</v>
      </c>
      <c r="C35" s="194"/>
      <c r="D35" s="194"/>
      <c r="E35" s="194"/>
      <c r="F35" s="194"/>
      <c r="G35" s="194"/>
      <c r="H35" s="194"/>
      <c r="I35" s="195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90"/>
      <c r="E36" s="35"/>
      <c r="F36" s="35"/>
      <c r="G36" s="89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90"/>
      <c r="E37" s="35"/>
      <c r="F37" s="35"/>
      <c r="G37" s="89"/>
      <c r="H37" s="89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9"/>
      <c r="H38" s="89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90"/>
      <c r="E39" s="35"/>
      <c r="F39" s="35"/>
      <c r="G39" s="89"/>
      <c r="H39" s="89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9"/>
      <c r="H40" s="89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9"/>
      <c r="H41" s="89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90"/>
      <c r="E42" s="35"/>
      <c r="F42" s="35"/>
      <c r="G42" s="89"/>
      <c r="H42" s="89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102"/>
      <c r="H43" s="10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7">SUMIF($G$20:$G$43,E44,$F$20:$F$43)</f>
        <v>7.5</v>
      </c>
      <c r="G44" s="70" t="s">
        <v>129</v>
      </c>
      <c r="H44" s="71">
        <f>SUMIF($G$20:$G$43,G44,$F$20:$F$43)</f>
        <v>0</v>
      </c>
      <c r="I44" s="70" t="s">
        <v>107</v>
      </c>
      <c r="J44" s="71">
        <f>SUMIF($G$20:$G$43,I44,$F$20:$F$43)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913</v>
      </c>
      <c r="D45" s="35">
        <f t="shared" ref="D45:D46" si="8">SUM(C45*B45)</f>
        <v>2739</v>
      </c>
      <c r="E45" s="64" t="s">
        <v>120</v>
      </c>
      <c r="F45" s="35">
        <f t="shared" si="7"/>
        <v>9</v>
      </c>
      <c r="G45" s="64" t="s">
        <v>130</v>
      </c>
      <c r="H45" s="35">
        <f>SUMIF($G$20:$G$43,G45,$F$20:$F$43)</f>
        <v>52.5</v>
      </c>
      <c r="I45" s="64" t="s">
        <v>127</v>
      </c>
      <c r="J45" s="35">
        <f>SUMIF($G$20:$G$43,I45,$F$20:$F$43)</f>
        <v>0.25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0</v>
      </c>
      <c r="D46" s="35">
        <f t="shared" si="8"/>
        <v>0</v>
      </c>
      <c r="E46" s="64" t="s">
        <v>121</v>
      </c>
      <c r="F46" s="35">
        <f t="shared" si="7"/>
        <v>0</v>
      </c>
      <c r="G46" s="64" t="s">
        <v>125</v>
      </c>
      <c r="H46" s="35">
        <f>SUMIF($G$20:$G$43,G46,$F$20:$F$43)</f>
        <v>0</v>
      </c>
      <c r="I46" s="64" t="s">
        <v>156</v>
      </c>
      <c r="J46" s="35">
        <f>SUMIF($G$20:$G$43,I46,$F$20:$F$43)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7"/>
        <v>52</v>
      </c>
      <c r="G47" s="64" t="s">
        <v>126</v>
      </c>
      <c r="H47" s="35">
        <f>SUMIF($G$20:$G$43,G47,$F$20:$F$43)</f>
        <v>0</v>
      </c>
      <c r="I47" s="64" t="s">
        <v>128</v>
      </c>
      <c r="J47" s="35">
        <f>SUMIF($G$20:$G$43,I47,$F$20:$F$43)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7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913</v>
      </c>
      <c r="D49" s="35">
        <f>SUM(D45:D47)</f>
        <v>2739</v>
      </c>
      <c r="E49" s="64" t="s">
        <v>124</v>
      </c>
      <c r="F49" s="35">
        <f t="shared" si="7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B35:I35"/>
    <mergeCell ref="G16:G17"/>
  </mergeCells>
  <dataValidations count="3">
    <dataValidation type="list" allowBlank="1" showInputMessage="1" showErrorMessage="1" sqref="G20:G21 G37:G43 G24:G34" xr:uid="{3FFAD093-68D8-45BA-9225-288BBD616AE5}">
      <formula1>$O$17:$O$48</formula1>
    </dataValidation>
    <dataValidation type="list" allowBlank="1" showInputMessage="1" showErrorMessage="1" sqref="G19" xr:uid="{DBE08BC7-D096-4574-83FD-44AD7EB94B00}">
      <formula1>$O$17:$O$49</formula1>
    </dataValidation>
    <dataValidation type="list" allowBlank="1" showInputMessage="1" showErrorMessage="1" sqref="G18" xr:uid="{EBA36828-1048-4354-BA99-24241405D639}">
      <formula1>$O$17:$O$50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6C47-A3AE-4472-BF91-C8A6792FEBC4}">
  <sheetPr>
    <pageSetUpPr fitToPage="1"/>
  </sheetPr>
  <dimension ref="A1:W71"/>
  <sheetViews>
    <sheetView topLeftCell="A3" zoomScaleNormal="100" workbookViewId="0">
      <selection activeCell="F27" sqref="F27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194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255</v>
      </c>
      <c r="M9">
        <v>8897</v>
      </c>
      <c r="O9">
        <f>9692-8897</f>
        <v>795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256</v>
      </c>
      <c r="M10">
        <v>9692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254</v>
      </c>
      <c r="G11" s="143"/>
      <c r="H11" s="178"/>
      <c r="I11" s="180" t="s">
        <v>331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373</v>
      </c>
      <c r="H14" s="79" t="s">
        <v>257</v>
      </c>
      <c r="I14" s="177" t="s">
        <v>259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374</v>
      </c>
      <c r="H15" s="79" t="s">
        <v>258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0</v>
      </c>
      <c r="C18" s="80">
        <v>795</v>
      </c>
      <c r="D18" s="72">
        <f>C18-B18</f>
        <v>795</v>
      </c>
      <c r="E18" s="35">
        <v>3</v>
      </c>
      <c r="F18" s="35">
        <f t="shared" ref="F18:F43" si="0">E18*D18</f>
        <v>2385</v>
      </c>
      <c r="G18" s="89" t="s">
        <v>110</v>
      </c>
      <c r="H18" s="89"/>
      <c r="I18" s="64" t="s">
        <v>105</v>
      </c>
      <c r="J18" s="64">
        <v>102</v>
      </c>
      <c r="K18" s="81">
        <f>B18-8897</f>
        <v>-8897</v>
      </c>
      <c r="L18" s="81">
        <f>C18-8897</f>
        <v>-8102</v>
      </c>
      <c r="O18" s="60" t="s">
        <v>119</v>
      </c>
      <c r="R18" s="59">
        <v>1</v>
      </c>
    </row>
    <row r="19" spans="1:18" ht="17.100000000000001" customHeight="1" x14ac:dyDescent="0.25">
      <c r="A19" s="78" t="s">
        <v>268</v>
      </c>
      <c r="B19" s="80">
        <v>0</v>
      </c>
      <c r="C19" s="80">
        <v>14</v>
      </c>
      <c r="D19" s="72">
        <f>C19-B19</f>
        <v>14</v>
      </c>
      <c r="E19" s="35">
        <v>3</v>
      </c>
      <c r="F19" s="35">
        <f t="shared" si="0"/>
        <v>42</v>
      </c>
      <c r="G19" s="89" t="s">
        <v>110</v>
      </c>
      <c r="H19" s="89"/>
      <c r="I19" s="64" t="s">
        <v>105</v>
      </c>
      <c r="J19" s="64"/>
      <c r="K19" s="81">
        <f t="shared" ref="K19:L19" si="1">B19-8897</f>
        <v>-8897</v>
      </c>
      <c r="L19" s="81">
        <f t="shared" si="1"/>
        <v>-8883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1</v>
      </c>
      <c r="C20" s="80">
        <v>4</v>
      </c>
      <c r="D20" s="72">
        <f>C20-B20</f>
        <v>3</v>
      </c>
      <c r="E20" s="35">
        <v>0.5</v>
      </c>
      <c r="F20" s="35">
        <f t="shared" si="0"/>
        <v>1.5</v>
      </c>
      <c r="G20" s="89" t="s">
        <v>120</v>
      </c>
      <c r="H20" s="89">
        <v>2</v>
      </c>
      <c r="I20" s="64" t="s">
        <v>102</v>
      </c>
      <c r="J20" s="64">
        <v>103</v>
      </c>
      <c r="K20" s="81"/>
      <c r="L20" s="81"/>
      <c r="O20" s="60" t="s">
        <v>121</v>
      </c>
      <c r="R20" s="59">
        <v>3</v>
      </c>
    </row>
    <row r="21" spans="1:18" ht="17.100000000000001" customHeight="1" x14ac:dyDescent="0.25">
      <c r="A21" s="78"/>
      <c r="B21" s="193" t="s">
        <v>315</v>
      </c>
      <c r="C21" s="194"/>
      <c r="D21" s="194"/>
      <c r="E21" s="194"/>
      <c r="F21" s="194"/>
      <c r="G21" s="194"/>
      <c r="H21" s="194"/>
      <c r="I21" s="195"/>
      <c r="J21" s="64"/>
      <c r="K21" s="81">
        <f>B20-8897</f>
        <v>-8896</v>
      </c>
      <c r="L21" s="81">
        <f>C20-8897</f>
        <v>-8893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</v>
      </c>
      <c r="B22" s="80">
        <v>56</v>
      </c>
      <c r="C22" s="80">
        <v>57</v>
      </c>
      <c r="D22" s="72">
        <v>1</v>
      </c>
      <c r="E22" s="35">
        <v>1</v>
      </c>
      <c r="F22" s="35">
        <f t="shared" si="0"/>
        <v>1</v>
      </c>
      <c r="G22" s="89" t="s">
        <v>155</v>
      </c>
      <c r="H22" s="89">
        <v>1</v>
      </c>
      <c r="I22" s="64" t="s">
        <v>102</v>
      </c>
      <c r="J22" s="64"/>
      <c r="K22" s="81">
        <f>B22-8897</f>
        <v>-8841</v>
      </c>
      <c r="L22" s="81">
        <f>C22-8897</f>
        <v>-8840</v>
      </c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96</v>
      </c>
      <c r="C23" s="80">
        <v>117</v>
      </c>
      <c r="D23" s="72">
        <f>C23-B23</f>
        <v>21</v>
      </c>
      <c r="E23" s="35">
        <v>0.5</v>
      </c>
      <c r="F23" s="35">
        <f t="shared" si="0"/>
        <v>10.5</v>
      </c>
      <c r="G23" s="89" t="s">
        <v>120</v>
      </c>
      <c r="H23" s="89">
        <v>2</v>
      </c>
      <c r="I23" s="64" t="s">
        <v>102</v>
      </c>
      <c r="J23" s="64">
        <v>104</v>
      </c>
      <c r="K23" s="81">
        <f>B23-8897</f>
        <v>-8801</v>
      </c>
      <c r="L23" s="81">
        <f>C23-8897</f>
        <v>-8780</v>
      </c>
      <c r="O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120</v>
      </c>
      <c r="C24" s="80"/>
      <c r="D24" s="90">
        <v>0.5</v>
      </c>
      <c r="E24" s="35">
        <v>0.5</v>
      </c>
      <c r="F24" s="35">
        <f t="shared" si="0"/>
        <v>0.25</v>
      </c>
      <c r="G24" s="89" t="s">
        <v>155</v>
      </c>
      <c r="H24" s="89">
        <v>1</v>
      </c>
      <c r="I24" s="64" t="s">
        <v>103</v>
      </c>
      <c r="J24" s="64"/>
      <c r="K24" s="81">
        <f t="shared" ref="K24:K43" si="2">B24-8897</f>
        <v>-8777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133</v>
      </c>
      <c r="C25" s="80">
        <v>136</v>
      </c>
      <c r="D25" s="72">
        <f>C25-B25</f>
        <v>3</v>
      </c>
      <c r="E25" s="35">
        <v>0.5</v>
      </c>
      <c r="F25" s="35">
        <f t="shared" si="0"/>
        <v>1.5</v>
      </c>
      <c r="G25" s="89" t="s">
        <v>119</v>
      </c>
      <c r="H25" s="89">
        <v>1</v>
      </c>
      <c r="I25" s="64" t="s">
        <v>103</v>
      </c>
      <c r="J25" s="64">
        <v>105</v>
      </c>
      <c r="K25" s="81">
        <f t="shared" si="2"/>
        <v>-8764</v>
      </c>
      <c r="L25" s="81">
        <f>C25-8897</f>
        <v>-8761</v>
      </c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165</v>
      </c>
      <c r="C26" s="80">
        <v>166</v>
      </c>
      <c r="D26" s="72">
        <v>1</v>
      </c>
      <c r="E26" s="35">
        <v>1</v>
      </c>
      <c r="F26" s="35">
        <f t="shared" si="0"/>
        <v>1</v>
      </c>
      <c r="G26" s="89" t="s">
        <v>130</v>
      </c>
      <c r="H26" s="89">
        <v>2</v>
      </c>
      <c r="I26" s="64" t="s">
        <v>99</v>
      </c>
      <c r="J26" s="64">
        <v>106</v>
      </c>
      <c r="K26" s="81">
        <f t="shared" si="2"/>
        <v>-8732</v>
      </c>
      <c r="L26" s="81">
        <f>C26-8897</f>
        <v>-8731</v>
      </c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198</v>
      </c>
      <c r="C27" s="80">
        <v>213</v>
      </c>
      <c r="D27" s="72">
        <f>C27-B27</f>
        <v>15</v>
      </c>
      <c r="E27" s="35">
        <v>0.5</v>
      </c>
      <c r="F27" s="35">
        <f t="shared" si="0"/>
        <v>7.5</v>
      </c>
      <c r="G27" s="89" t="s">
        <v>119</v>
      </c>
      <c r="H27" s="89">
        <v>1</v>
      </c>
      <c r="I27" s="64" t="s">
        <v>103</v>
      </c>
      <c r="J27" s="64">
        <v>107</v>
      </c>
      <c r="K27" s="81">
        <f t="shared" si="2"/>
        <v>-8699</v>
      </c>
      <c r="L27" s="81">
        <f>C27-8897</f>
        <v>-8684</v>
      </c>
      <c r="O27" s="60" t="s">
        <v>126</v>
      </c>
      <c r="R27" s="58" t="s">
        <v>99</v>
      </c>
    </row>
    <row r="28" spans="1:18" ht="17.100000000000001" customHeight="1" x14ac:dyDescent="0.25">
      <c r="A28" s="78" t="s">
        <v>21</v>
      </c>
      <c r="B28" s="80">
        <v>315</v>
      </c>
      <c r="C28" s="80"/>
      <c r="D28" s="90">
        <v>0.5</v>
      </c>
      <c r="E28" s="35">
        <v>0.5</v>
      </c>
      <c r="F28" s="35">
        <f t="shared" si="0"/>
        <v>0.25</v>
      </c>
      <c r="G28" s="89" t="s">
        <v>127</v>
      </c>
      <c r="H28" s="89"/>
      <c r="I28" s="64" t="s">
        <v>102</v>
      </c>
      <c r="J28" s="64">
        <v>108</v>
      </c>
      <c r="K28" s="81">
        <f t="shared" si="2"/>
        <v>-8582</v>
      </c>
      <c r="L28" s="81"/>
      <c r="O28" s="60" t="s">
        <v>107</v>
      </c>
      <c r="R28" s="58" t="s">
        <v>105</v>
      </c>
    </row>
    <row r="29" spans="1:18" ht="17.100000000000001" customHeight="1" x14ac:dyDescent="0.25">
      <c r="A29" s="78" t="s">
        <v>21</v>
      </c>
      <c r="B29" s="80">
        <v>335</v>
      </c>
      <c r="C29" s="80"/>
      <c r="D29" s="90">
        <v>0.5</v>
      </c>
      <c r="E29" s="35">
        <v>0.5</v>
      </c>
      <c r="F29" s="35">
        <f t="shared" si="0"/>
        <v>0.25</v>
      </c>
      <c r="G29" s="89" t="s">
        <v>120</v>
      </c>
      <c r="H29" s="89">
        <v>2</v>
      </c>
      <c r="I29" s="64" t="s">
        <v>99</v>
      </c>
      <c r="J29" s="64">
        <v>109</v>
      </c>
      <c r="K29" s="81">
        <f t="shared" si="2"/>
        <v>-8562</v>
      </c>
      <c r="L29" s="81"/>
      <c r="O29" s="60" t="s">
        <v>127</v>
      </c>
    </row>
    <row r="30" spans="1:18" ht="17.100000000000001" customHeight="1" x14ac:dyDescent="0.25">
      <c r="A30" s="78" t="s">
        <v>21</v>
      </c>
      <c r="B30" s="80">
        <v>341</v>
      </c>
      <c r="C30" s="80">
        <v>349</v>
      </c>
      <c r="D30" s="72">
        <f>C30-B30</f>
        <v>8</v>
      </c>
      <c r="E30" s="35">
        <v>1</v>
      </c>
      <c r="F30" s="35">
        <f t="shared" si="0"/>
        <v>8</v>
      </c>
      <c r="G30" s="89" t="s">
        <v>120</v>
      </c>
      <c r="H30" s="89">
        <v>2</v>
      </c>
      <c r="I30" s="64" t="s">
        <v>104</v>
      </c>
      <c r="J30" s="64">
        <v>110</v>
      </c>
      <c r="K30" s="81">
        <f t="shared" si="2"/>
        <v>-8556</v>
      </c>
      <c r="L30" s="81">
        <f>C30-8897</f>
        <v>-8548</v>
      </c>
      <c r="O30" s="60" t="s">
        <v>156</v>
      </c>
    </row>
    <row r="31" spans="1:18" ht="17.100000000000001" customHeight="1" x14ac:dyDescent="0.25">
      <c r="A31" s="78" t="s">
        <v>21</v>
      </c>
      <c r="B31" s="80">
        <v>352</v>
      </c>
      <c r="C31" s="80"/>
      <c r="D31" s="90">
        <v>0.5</v>
      </c>
      <c r="E31" s="35">
        <v>0.5</v>
      </c>
      <c r="F31" s="35">
        <f t="shared" si="0"/>
        <v>0.25</v>
      </c>
      <c r="G31" s="89" t="s">
        <v>148</v>
      </c>
      <c r="H31" s="89" t="s">
        <v>292</v>
      </c>
      <c r="I31" s="64" t="s">
        <v>102</v>
      </c>
      <c r="J31" s="64">
        <v>111</v>
      </c>
      <c r="K31" s="81">
        <f t="shared" si="2"/>
        <v>-8545</v>
      </c>
      <c r="L31" s="81"/>
      <c r="O31" s="61" t="s">
        <v>128</v>
      </c>
    </row>
    <row r="32" spans="1:18" ht="17.100000000000001" customHeight="1" x14ac:dyDescent="0.25">
      <c r="A32" s="78" t="s">
        <v>21</v>
      </c>
      <c r="B32" s="80">
        <v>390</v>
      </c>
      <c r="C32" s="80"/>
      <c r="D32" s="90">
        <v>0.5</v>
      </c>
      <c r="E32" s="35">
        <v>0.5</v>
      </c>
      <c r="F32" s="35">
        <f t="shared" si="0"/>
        <v>0.25</v>
      </c>
      <c r="G32" s="89" t="s">
        <v>148</v>
      </c>
      <c r="H32" s="89"/>
      <c r="I32" s="64" t="s">
        <v>103</v>
      </c>
      <c r="J32" s="64"/>
      <c r="K32" s="81">
        <f t="shared" si="2"/>
        <v>-8507</v>
      </c>
      <c r="L32" s="81"/>
      <c r="O32" s="63" t="s">
        <v>155</v>
      </c>
    </row>
    <row r="33" spans="1:21" ht="17.100000000000001" customHeight="1" x14ac:dyDescent="0.25">
      <c r="A33" s="78" t="s">
        <v>21</v>
      </c>
      <c r="B33" s="80">
        <v>406</v>
      </c>
      <c r="C33" s="80">
        <v>407</v>
      </c>
      <c r="D33" s="72">
        <v>1</v>
      </c>
      <c r="E33" s="35">
        <v>0.5</v>
      </c>
      <c r="F33" s="35">
        <f t="shared" si="0"/>
        <v>0.5</v>
      </c>
      <c r="G33" s="89" t="s">
        <v>120</v>
      </c>
      <c r="H33" s="89">
        <v>2</v>
      </c>
      <c r="I33" s="64" t="s">
        <v>99</v>
      </c>
      <c r="J33" s="64">
        <v>112</v>
      </c>
      <c r="K33" s="81">
        <f t="shared" si="2"/>
        <v>-8491</v>
      </c>
      <c r="L33" s="81">
        <f>C33-8897</f>
        <v>-8490</v>
      </c>
      <c r="O33" s="62" t="s">
        <v>150</v>
      </c>
    </row>
    <row r="34" spans="1:21" ht="17.100000000000001" customHeight="1" x14ac:dyDescent="0.25">
      <c r="A34" s="78" t="s">
        <v>21</v>
      </c>
      <c r="B34" s="80">
        <v>429</v>
      </c>
      <c r="C34" s="80"/>
      <c r="D34" s="90">
        <v>0.5</v>
      </c>
      <c r="E34" s="35">
        <v>0.5</v>
      </c>
      <c r="F34" s="35">
        <f t="shared" ref="F34" si="3">E34*D34</f>
        <v>0.25</v>
      </c>
      <c r="G34" s="89" t="s">
        <v>148</v>
      </c>
      <c r="H34" s="89" t="s">
        <v>292</v>
      </c>
      <c r="I34" s="64" t="s">
        <v>102</v>
      </c>
      <c r="J34" s="64">
        <v>113</v>
      </c>
      <c r="K34" s="81">
        <f t="shared" si="2"/>
        <v>-8468</v>
      </c>
      <c r="L34" s="81"/>
      <c r="O34" s="62" t="s">
        <v>107</v>
      </c>
    </row>
    <row r="35" spans="1:21" ht="17.100000000000001" customHeight="1" x14ac:dyDescent="0.25">
      <c r="A35" s="78" t="s">
        <v>21</v>
      </c>
      <c r="B35" s="80">
        <v>459</v>
      </c>
      <c r="C35" s="80"/>
      <c r="D35" s="90">
        <v>0.5</v>
      </c>
      <c r="E35" s="35">
        <v>0.5</v>
      </c>
      <c r="F35" s="35">
        <f t="shared" si="0"/>
        <v>0.25</v>
      </c>
      <c r="G35" s="89" t="s">
        <v>148</v>
      </c>
      <c r="H35" s="89"/>
      <c r="I35" s="64" t="s">
        <v>102</v>
      </c>
      <c r="J35" s="64"/>
      <c r="K35" s="81">
        <f t="shared" si="2"/>
        <v>-8438</v>
      </c>
      <c r="L35" s="81"/>
      <c r="O35" s="62" t="s">
        <v>112</v>
      </c>
    </row>
    <row r="36" spans="1:21" ht="17.100000000000001" customHeight="1" x14ac:dyDescent="0.25">
      <c r="A36" s="78" t="s">
        <v>21</v>
      </c>
      <c r="B36" s="80">
        <v>474</v>
      </c>
      <c r="C36" s="80">
        <v>491</v>
      </c>
      <c r="D36" s="72">
        <f>C36-B36</f>
        <v>17</v>
      </c>
      <c r="E36" s="35">
        <v>1</v>
      </c>
      <c r="F36" s="35">
        <f t="shared" si="0"/>
        <v>17</v>
      </c>
      <c r="G36" s="89" t="s">
        <v>122</v>
      </c>
      <c r="H36" s="89">
        <v>2</v>
      </c>
      <c r="I36" s="64" t="s">
        <v>102</v>
      </c>
      <c r="J36" s="64">
        <v>114</v>
      </c>
      <c r="K36" s="81">
        <f t="shared" si="2"/>
        <v>-8423</v>
      </c>
      <c r="L36" s="81">
        <f>C36-8897</f>
        <v>-8406</v>
      </c>
      <c r="O36" s="62" t="s">
        <v>148</v>
      </c>
    </row>
    <row r="37" spans="1:21" ht="17.100000000000001" customHeight="1" x14ac:dyDescent="0.25">
      <c r="A37" s="78" t="s">
        <v>21</v>
      </c>
      <c r="B37" s="80">
        <v>518</v>
      </c>
      <c r="C37" s="80">
        <v>542</v>
      </c>
      <c r="D37" s="72">
        <f>C37-B37</f>
        <v>24</v>
      </c>
      <c r="E37" s="35">
        <v>1</v>
      </c>
      <c r="F37" s="35">
        <f t="shared" si="0"/>
        <v>24</v>
      </c>
      <c r="G37" s="89" t="s">
        <v>122</v>
      </c>
      <c r="H37" s="89">
        <v>2</v>
      </c>
      <c r="I37" s="64" t="s">
        <v>102</v>
      </c>
      <c r="J37" s="64">
        <v>115</v>
      </c>
      <c r="K37" s="81">
        <f t="shared" si="2"/>
        <v>-8379</v>
      </c>
      <c r="L37" s="81">
        <f>C37-8897</f>
        <v>-8355</v>
      </c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 t="s">
        <v>21</v>
      </c>
      <c r="B38" s="80">
        <v>528</v>
      </c>
      <c r="C38" s="80">
        <v>531</v>
      </c>
      <c r="D38" s="72">
        <f>C38-B38</f>
        <v>3</v>
      </c>
      <c r="E38" s="35">
        <v>0.5</v>
      </c>
      <c r="F38" s="35">
        <f t="shared" si="0"/>
        <v>1.5</v>
      </c>
      <c r="G38" s="89" t="s">
        <v>269</v>
      </c>
      <c r="H38" s="89"/>
      <c r="I38" s="64" t="s">
        <v>285</v>
      </c>
      <c r="J38" s="64"/>
      <c r="K38" s="81">
        <f t="shared" si="2"/>
        <v>-8369</v>
      </c>
      <c r="L38" s="81">
        <f>C38-8897</f>
        <v>-8366</v>
      </c>
      <c r="O38" s="62" t="s">
        <v>151</v>
      </c>
    </row>
    <row r="39" spans="1:21" ht="17.100000000000001" customHeight="1" x14ac:dyDescent="0.25">
      <c r="A39" s="78" t="s">
        <v>21</v>
      </c>
      <c r="B39" s="80">
        <v>615</v>
      </c>
      <c r="C39" s="80">
        <v>618</v>
      </c>
      <c r="D39" s="72">
        <f>C39-B39</f>
        <v>3</v>
      </c>
      <c r="E39" s="35">
        <v>0.5</v>
      </c>
      <c r="F39" s="35">
        <f t="shared" si="0"/>
        <v>1.5</v>
      </c>
      <c r="G39" s="89" t="s">
        <v>119</v>
      </c>
      <c r="H39" s="89">
        <v>1</v>
      </c>
      <c r="I39" s="64" t="s">
        <v>103</v>
      </c>
      <c r="J39" s="64">
        <v>116</v>
      </c>
      <c r="K39" s="81">
        <f t="shared" si="2"/>
        <v>-8282</v>
      </c>
      <c r="L39" s="81">
        <f>C39-8897</f>
        <v>-8279</v>
      </c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 t="s">
        <v>21</v>
      </c>
      <c r="B40" s="80">
        <v>666</v>
      </c>
      <c r="C40" s="80"/>
      <c r="D40" s="90">
        <v>0.5</v>
      </c>
      <c r="E40" s="35">
        <v>0.5</v>
      </c>
      <c r="F40" s="35">
        <f t="shared" si="0"/>
        <v>0.25</v>
      </c>
      <c r="G40" s="89" t="s">
        <v>280</v>
      </c>
      <c r="H40" s="89"/>
      <c r="I40" s="64" t="s">
        <v>102</v>
      </c>
      <c r="J40" s="64"/>
      <c r="K40" s="81">
        <f t="shared" si="2"/>
        <v>-8231</v>
      </c>
      <c r="L40" s="81"/>
      <c r="O40" s="62" t="s">
        <v>109</v>
      </c>
    </row>
    <row r="41" spans="1:21" ht="17.100000000000001" customHeight="1" x14ac:dyDescent="0.25">
      <c r="A41" s="78" t="s">
        <v>21</v>
      </c>
      <c r="B41" s="80">
        <v>677</v>
      </c>
      <c r="C41" s="80">
        <v>678</v>
      </c>
      <c r="D41" s="72">
        <v>1</v>
      </c>
      <c r="E41" s="35">
        <v>0.5</v>
      </c>
      <c r="F41" s="35">
        <f t="shared" si="0"/>
        <v>0.5</v>
      </c>
      <c r="G41" s="89" t="s">
        <v>155</v>
      </c>
      <c r="H41" s="89">
        <v>1</v>
      </c>
      <c r="I41" s="64" t="s">
        <v>102</v>
      </c>
      <c r="J41" s="64"/>
      <c r="K41" s="81">
        <f t="shared" si="2"/>
        <v>-8220</v>
      </c>
      <c r="L41" s="81">
        <f>C41-8897</f>
        <v>-8219</v>
      </c>
      <c r="O41" s="62" t="s">
        <v>152</v>
      </c>
      <c r="P41" s="5"/>
      <c r="Q41" s="5"/>
    </row>
    <row r="42" spans="1:21" ht="17.100000000000001" customHeight="1" x14ac:dyDescent="0.25">
      <c r="A42" s="78" t="s">
        <v>21</v>
      </c>
      <c r="B42" s="80">
        <v>682</v>
      </c>
      <c r="C42" s="80">
        <v>688</v>
      </c>
      <c r="D42" s="72">
        <f>C42-B42</f>
        <v>6</v>
      </c>
      <c r="E42" s="35">
        <v>0.5</v>
      </c>
      <c r="F42" s="35">
        <f t="shared" si="0"/>
        <v>3</v>
      </c>
      <c r="G42" s="89" t="s">
        <v>155</v>
      </c>
      <c r="H42" s="89">
        <v>1</v>
      </c>
      <c r="I42" s="64" t="s">
        <v>102</v>
      </c>
      <c r="J42" s="64"/>
      <c r="K42" s="81">
        <f t="shared" si="2"/>
        <v>-8215</v>
      </c>
      <c r="L42" s="81">
        <f>C42-8897</f>
        <v>-8209</v>
      </c>
      <c r="O42" s="62" t="s">
        <v>106</v>
      </c>
    </row>
    <row r="43" spans="1:21" ht="16.95" customHeight="1" thickBot="1" x14ac:dyDescent="0.3">
      <c r="A43" s="68" t="s">
        <v>21</v>
      </c>
      <c r="B43" s="84">
        <v>691</v>
      </c>
      <c r="C43" s="84">
        <v>693</v>
      </c>
      <c r="D43" s="85">
        <v>2</v>
      </c>
      <c r="E43" s="55">
        <v>0.5</v>
      </c>
      <c r="F43" s="55">
        <f t="shared" si="0"/>
        <v>1</v>
      </c>
      <c r="G43" s="102" t="s">
        <v>155</v>
      </c>
      <c r="H43" s="102">
        <v>1</v>
      </c>
      <c r="I43" s="69" t="s">
        <v>102</v>
      </c>
      <c r="J43" s="69"/>
      <c r="K43" s="81">
        <f t="shared" si="2"/>
        <v>-8206</v>
      </c>
      <c r="L43" s="81">
        <f>C43-8897</f>
        <v>-8204</v>
      </c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4">SUMIF($G$18:$G$43,E44,$F$18:$F$43)</f>
        <v>10.5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691</v>
      </c>
      <c r="D45" s="35">
        <f t="shared" ref="D45:D46" si="5">SUM(C45*B45)</f>
        <v>2073</v>
      </c>
      <c r="E45" s="64" t="s">
        <v>120</v>
      </c>
      <c r="F45" s="35">
        <f t="shared" si="4"/>
        <v>20.75</v>
      </c>
      <c r="G45" s="64" t="s">
        <v>130</v>
      </c>
      <c r="H45" s="35">
        <f>SUMIF($G$18:$G$43,G45,$F$18:$F$43)</f>
        <v>1</v>
      </c>
      <c r="I45" s="64" t="s">
        <v>127</v>
      </c>
      <c r="J45" s="35">
        <f>SUMIF($G$18:$G$43,I45,$F$18:$F$43)</f>
        <v>0.25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14</v>
      </c>
      <c r="D46" s="35">
        <f t="shared" si="5"/>
        <v>42</v>
      </c>
      <c r="E46" s="64" t="s">
        <v>121</v>
      </c>
      <c r="F46" s="35">
        <f t="shared" si="4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4"/>
        <v>41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4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705</v>
      </c>
      <c r="D49" s="35">
        <f>SUM(D45:D47)</f>
        <v>2115</v>
      </c>
      <c r="E49" s="64" t="s">
        <v>124</v>
      </c>
      <c r="F49" s="35">
        <f t="shared" si="4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21:I21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39 G41:G43 G18:G37" xr:uid="{3032C3B7-1D1D-4BC1-B1E4-5FE989E7E8D7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9113-A44F-4A62-B345-2384F8D1B07E}">
  <sheetPr>
    <pageSetUpPr fitToPage="1"/>
  </sheetPr>
  <dimension ref="A1:W71"/>
  <sheetViews>
    <sheetView zoomScaleNormal="100" workbookViewId="0">
      <selection activeCell="P14" sqref="P14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194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255</v>
      </c>
      <c r="M9">
        <v>8897</v>
      </c>
      <c r="O9">
        <f>9692-8897</f>
        <v>795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256</v>
      </c>
      <c r="M10">
        <v>9692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254</v>
      </c>
      <c r="G11" s="143"/>
      <c r="H11" s="178"/>
      <c r="I11" s="180" t="s">
        <v>332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373</v>
      </c>
      <c r="H14" s="79" t="s">
        <v>257</v>
      </c>
      <c r="I14" s="177" t="s">
        <v>259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374</v>
      </c>
      <c r="H15" s="79" t="s">
        <v>258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731</v>
      </c>
      <c r="C18" s="80"/>
      <c r="D18" s="90">
        <v>0.5</v>
      </c>
      <c r="E18" s="35">
        <v>0.5</v>
      </c>
      <c r="F18" s="35">
        <f t="shared" ref="F18:F22" si="0">E18*D18</f>
        <v>0.25</v>
      </c>
      <c r="G18" s="89" t="s">
        <v>155</v>
      </c>
      <c r="H18" s="89">
        <v>1</v>
      </c>
      <c r="I18" s="64" t="s">
        <v>103</v>
      </c>
      <c r="J18" s="64"/>
      <c r="K18" s="81">
        <f>B18-8897</f>
        <v>-8166</v>
      </c>
      <c r="L18" s="81"/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743</v>
      </c>
      <c r="C19" s="80">
        <v>748</v>
      </c>
      <c r="D19" s="72">
        <f>C19-B19</f>
        <v>5</v>
      </c>
      <c r="E19" s="35">
        <v>0.5</v>
      </c>
      <c r="F19" s="35">
        <f t="shared" si="0"/>
        <v>2.5</v>
      </c>
      <c r="G19" s="89" t="s">
        <v>119</v>
      </c>
      <c r="H19" s="89">
        <v>1</v>
      </c>
      <c r="I19" s="64" t="s">
        <v>102</v>
      </c>
      <c r="J19" s="64">
        <v>117</v>
      </c>
      <c r="K19" s="81">
        <f t="shared" ref="K19:L22" si="1">B19-8897</f>
        <v>-8154</v>
      </c>
      <c r="L19" s="81">
        <f t="shared" si="1"/>
        <v>-8149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72">
        <v>748</v>
      </c>
      <c r="C20" s="35"/>
      <c r="D20" s="90">
        <v>0.5</v>
      </c>
      <c r="E20" s="35">
        <v>0.5</v>
      </c>
      <c r="F20" s="35">
        <f t="shared" si="0"/>
        <v>0.25</v>
      </c>
      <c r="G20" s="35" t="s">
        <v>148</v>
      </c>
      <c r="H20" s="35"/>
      <c r="I20" s="35" t="s">
        <v>102</v>
      </c>
      <c r="J20" s="64"/>
      <c r="K20" s="81">
        <f t="shared" si="1"/>
        <v>-8149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/>
      <c r="B21" s="193" t="s">
        <v>316</v>
      </c>
      <c r="C21" s="194"/>
      <c r="D21" s="194"/>
      <c r="E21" s="194"/>
      <c r="F21" s="194"/>
      <c r="G21" s="194"/>
      <c r="H21" s="194"/>
      <c r="I21" s="195"/>
      <c r="J21" s="64"/>
      <c r="K21" s="81" t="e">
        <f t="shared" si="1"/>
        <v>#VALUE!</v>
      </c>
      <c r="L21" s="81"/>
      <c r="O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750</v>
      </c>
      <c r="C22" s="80">
        <v>795</v>
      </c>
      <c r="D22" s="72">
        <f>C22-B22</f>
        <v>45</v>
      </c>
      <c r="E22" s="35">
        <v>3</v>
      </c>
      <c r="F22" s="35">
        <f t="shared" si="0"/>
        <v>135</v>
      </c>
      <c r="G22" s="89" t="s">
        <v>110</v>
      </c>
      <c r="H22" s="89"/>
      <c r="I22" s="64" t="s">
        <v>105</v>
      </c>
      <c r="J22" s="64"/>
      <c r="K22" s="81">
        <f t="shared" si="1"/>
        <v>-8147</v>
      </c>
      <c r="L22" s="81">
        <f t="shared" si="1"/>
        <v>-8102</v>
      </c>
      <c r="O22" s="60" t="s">
        <v>123</v>
      </c>
      <c r="R22" s="58" t="s">
        <v>100</v>
      </c>
    </row>
    <row r="23" spans="1:18" ht="17.100000000000001" customHeight="1" x14ac:dyDescent="0.25">
      <c r="A23" s="78"/>
      <c r="B23" s="193" t="s">
        <v>293</v>
      </c>
      <c r="C23" s="194"/>
      <c r="D23" s="194"/>
      <c r="E23" s="194"/>
      <c r="F23" s="194"/>
      <c r="G23" s="194"/>
      <c r="H23" s="194"/>
      <c r="I23" s="195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90"/>
      <c r="E24" s="35"/>
      <c r="F24" s="35"/>
      <c r="G24" s="89"/>
      <c r="H24" s="89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9"/>
      <c r="H25" s="89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9"/>
      <c r="H26" s="89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9"/>
      <c r="H27" s="89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90"/>
      <c r="E28" s="35"/>
      <c r="F28" s="35"/>
      <c r="G28" s="89"/>
      <c r="H28" s="89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90"/>
      <c r="E29" s="35"/>
      <c r="F29" s="35"/>
      <c r="G29" s="89"/>
      <c r="H29" s="89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9"/>
      <c r="H30" s="89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90"/>
      <c r="E31" s="35"/>
      <c r="F31" s="35"/>
      <c r="G31" s="89"/>
      <c r="H31" s="89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90"/>
      <c r="E32" s="35"/>
      <c r="F32" s="35"/>
      <c r="G32" s="89"/>
      <c r="H32" s="89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9"/>
      <c r="H33" s="89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90"/>
      <c r="E34" s="35"/>
      <c r="F34" s="35"/>
      <c r="G34" s="89"/>
      <c r="H34" s="89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90"/>
      <c r="E35" s="35"/>
      <c r="F35" s="35"/>
      <c r="G35" s="89"/>
      <c r="H35" s="89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9"/>
      <c r="H36" s="89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9"/>
      <c r="H37" s="89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9"/>
      <c r="H38" s="89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9"/>
      <c r="H39" s="89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90"/>
      <c r="E40" s="35"/>
      <c r="F40" s="35"/>
      <c r="G40" s="89"/>
      <c r="H40" s="89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9"/>
      <c r="H41" s="89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9"/>
      <c r="H42" s="89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102"/>
      <c r="H43" s="102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2">SUMIF($G$18:$G$43,E44,$F$18:$F$43)</f>
        <v>2.5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104</v>
      </c>
      <c r="D45" s="35">
        <f t="shared" ref="D45" si="3">SUM(C45*B45)</f>
        <v>312</v>
      </c>
      <c r="E45" s="64" t="s">
        <v>120</v>
      </c>
      <c r="F45" s="35">
        <f t="shared" si="2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45</v>
      </c>
      <c r="D46" s="35">
        <f t="shared" ref="D46" si="4">SUM(C46*B46)</f>
        <v>135</v>
      </c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2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149</v>
      </c>
      <c r="D49" s="35">
        <f>SUM(D45:D47)</f>
        <v>447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H16:H17"/>
    <mergeCell ref="I16:I17"/>
    <mergeCell ref="J16:J17"/>
    <mergeCell ref="G63:J63"/>
    <mergeCell ref="G64:J64"/>
    <mergeCell ref="B21:I21"/>
    <mergeCell ref="B23:I23"/>
    <mergeCell ref="G16:G17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18:G19 G41:G43 G39 G22 G24:G37" xr:uid="{0211DCED-A4EF-40D5-94AB-C0FDF38BB2DF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F2F7-E9EC-40BD-A0A9-AFA0CE153C18}">
  <sheetPr>
    <pageSetUpPr fitToPage="1"/>
  </sheetPr>
  <dimension ref="A1:W71"/>
  <sheetViews>
    <sheetView zoomScaleNormal="100" workbookViewId="0">
      <selection activeCell="N16" sqref="N16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194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160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196</v>
      </c>
      <c r="M9">
        <v>10165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198</v>
      </c>
      <c r="M10">
        <v>10451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195</v>
      </c>
      <c r="G11" s="143"/>
      <c r="H11" s="178"/>
      <c r="I11" s="180" t="s">
        <v>333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375</v>
      </c>
      <c r="H14" s="79" t="s">
        <v>197</v>
      </c>
      <c r="I14" s="177" t="s">
        <v>260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376</v>
      </c>
      <c r="H15" s="79" t="s">
        <v>199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0</v>
      </c>
      <c r="C18" s="80">
        <v>286</v>
      </c>
      <c r="D18" s="72">
        <f>C18-B18</f>
        <v>286</v>
      </c>
      <c r="E18" s="35">
        <v>3</v>
      </c>
      <c r="F18" s="35">
        <f t="shared" ref="F18:F28" si="0">E18*D18</f>
        <v>858</v>
      </c>
      <c r="G18" s="89" t="s">
        <v>110</v>
      </c>
      <c r="H18" s="89"/>
      <c r="I18" s="64" t="s">
        <v>105</v>
      </c>
      <c r="J18" s="64">
        <v>118</v>
      </c>
      <c r="K18" s="81">
        <f>B18-10165</f>
        <v>-10165</v>
      </c>
      <c r="L18" s="81">
        <f>C18-10165</f>
        <v>-9879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30</v>
      </c>
      <c r="C19" s="80">
        <v>32</v>
      </c>
      <c r="D19" s="72">
        <f>C19-B19</f>
        <v>2</v>
      </c>
      <c r="E19" s="35">
        <v>0.5</v>
      </c>
      <c r="F19" s="35">
        <f t="shared" si="0"/>
        <v>1</v>
      </c>
      <c r="G19" s="89" t="s">
        <v>130</v>
      </c>
      <c r="H19" s="89">
        <v>2</v>
      </c>
      <c r="I19" s="64" t="s">
        <v>102</v>
      </c>
      <c r="J19" s="64">
        <v>119</v>
      </c>
      <c r="K19" s="81">
        <f t="shared" ref="K19:L22" si="1">B19-10165</f>
        <v>-10135</v>
      </c>
      <c r="L19" s="81">
        <f t="shared" si="1"/>
        <v>-10133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43</v>
      </c>
      <c r="C20" s="80"/>
      <c r="D20" s="90">
        <v>0.5</v>
      </c>
      <c r="E20" s="35">
        <v>0.5</v>
      </c>
      <c r="F20" s="35">
        <f t="shared" si="0"/>
        <v>0.25</v>
      </c>
      <c r="G20" s="89" t="s">
        <v>130</v>
      </c>
      <c r="H20" s="89">
        <v>2</v>
      </c>
      <c r="I20" s="64" t="s">
        <v>102</v>
      </c>
      <c r="J20" s="64">
        <v>120</v>
      </c>
      <c r="K20" s="81">
        <f t="shared" si="1"/>
        <v>-10122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101</v>
      </c>
      <c r="C21" s="80"/>
      <c r="D21" s="90">
        <v>0.5</v>
      </c>
      <c r="E21" s="35">
        <v>0.5</v>
      </c>
      <c r="F21" s="35">
        <f t="shared" si="0"/>
        <v>0.25</v>
      </c>
      <c r="G21" s="89" t="s">
        <v>127</v>
      </c>
      <c r="H21" s="89"/>
      <c r="I21" s="64" t="s">
        <v>102</v>
      </c>
      <c r="J21" s="64">
        <v>121</v>
      </c>
      <c r="K21" s="81">
        <f t="shared" si="1"/>
        <v>-10064</v>
      </c>
      <c r="L21" s="81"/>
      <c r="O21" s="60" t="s">
        <v>122</v>
      </c>
      <c r="R21" s="58" t="s">
        <v>99</v>
      </c>
    </row>
    <row r="22" spans="1:18" ht="17.100000000000001" customHeight="1" x14ac:dyDescent="0.25">
      <c r="A22" s="78" t="s">
        <v>21</v>
      </c>
      <c r="B22" s="80">
        <v>129</v>
      </c>
      <c r="C22" s="80"/>
      <c r="D22" s="90">
        <v>0.5</v>
      </c>
      <c r="E22" s="35">
        <v>0.5</v>
      </c>
      <c r="F22" s="35">
        <f t="shared" si="0"/>
        <v>0.25</v>
      </c>
      <c r="G22" s="89" t="s">
        <v>127</v>
      </c>
      <c r="H22" s="83"/>
      <c r="I22" s="64" t="s">
        <v>99</v>
      </c>
      <c r="J22" s="64">
        <v>122</v>
      </c>
      <c r="K22" s="81">
        <f t="shared" si="1"/>
        <v>-10036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130</v>
      </c>
      <c r="C23" s="80"/>
      <c r="D23" s="90">
        <v>0.5</v>
      </c>
      <c r="E23" s="35">
        <v>0.5</v>
      </c>
      <c r="F23" s="35">
        <f t="shared" ref="F23" si="2">E23*D23</f>
        <v>0.25</v>
      </c>
      <c r="G23" s="89" t="s">
        <v>148</v>
      </c>
      <c r="H23" s="89"/>
      <c r="I23" s="64" t="s">
        <v>99</v>
      </c>
      <c r="J23" s="64"/>
      <c r="K23" s="81">
        <f>B25-10165</f>
        <v>-10027</v>
      </c>
      <c r="L23" s="81">
        <f>C25-10165</f>
        <v>-10017</v>
      </c>
      <c r="O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130</v>
      </c>
      <c r="C24" s="80"/>
      <c r="D24" s="90">
        <v>0.5</v>
      </c>
      <c r="E24" s="35">
        <v>0.5</v>
      </c>
      <c r="F24" s="35">
        <f t="shared" ref="F24" si="3">E24*D24</f>
        <v>0.25</v>
      </c>
      <c r="G24" s="89" t="s">
        <v>122</v>
      </c>
      <c r="H24" s="89">
        <v>2</v>
      </c>
      <c r="I24" s="64" t="s">
        <v>99</v>
      </c>
      <c r="J24" s="64">
        <v>122</v>
      </c>
      <c r="K24" s="81">
        <f>B26-10165</f>
        <v>-10011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138</v>
      </c>
      <c r="C25" s="80">
        <v>148</v>
      </c>
      <c r="D25" s="72">
        <f>C25-B25</f>
        <v>10</v>
      </c>
      <c r="E25" s="35">
        <v>3</v>
      </c>
      <c r="F25" s="35">
        <f t="shared" si="0"/>
        <v>30</v>
      </c>
      <c r="G25" s="89" t="s">
        <v>130</v>
      </c>
      <c r="H25" s="89">
        <v>2</v>
      </c>
      <c r="I25" s="64" t="s">
        <v>99</v>
      </c>
      <c r="J25" s="64">
        <v>123</v>
      </c>
      <c r="K25" s="81">
        <f>B27-10165</f>
        <v>-9976</v>
      </c>
      <c r="L25" s="81">
        <f>C27-10165</f>
        <v>-9965</v>
      </c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154</v>
      </c>
      <c r="C26" s="80"/>
      <c r="D26" s="90">
        <v>0.5</v>
      </c>
      <c r="E26" s="35">
        <v>0.5</v>
      </c>
      <c r="F26" s="35">
        <f t="shared" si="0"/>
        <v>0.25</v>
      </c>
      <c r="G26" s="89" t="s">
        <v>127</v>
      </c>
      <c r="H26" s="89"/>
      <c r="I26" s="64" t="s">
        <v>102</v>
      </c>
      <c r="J26" s="64">
        <v>124</v>
      </c>
      <c r="K26" s="81">
        <f>B28-10165</f>
        <v>-9940</v>
      </c>
      <c r="L26" s="81">
        <f>C28-10165</f>
        <v>-9939</v>
      </c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189</v>
      </c>
      <c r="C27" s="80">
        <v>200</v>
      </c>
      <c r="D27" s="72">
        <f>C27-B27</f>
        <v>11</v>
      </c>
      <c r="E27" s="35">
        <v>0.5</v>
      </c>
      <c r="F27" s="35">
        <f t="shared" si="0"/>
        <v>5.5</v>
      </c>
      <c r="G27" s="89" t="s">
        <v>150</v>
      </c>
      <c r="H27" s="89" t="s">
        <v>100</v>
      </c>
      <c r="I27" s="64" t="s">
        <v>99</v>
      </c>
      <c r="J27" s="64">
        <v>125</v>
      </c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 t="s">
        <v>21</v>
      </c>
      <c r="B28" s="80">
        <v>225</v>
      </c>
      <c r="C28" s="80">
        <v>226</v>
      </c>
      <c r="D28" s="72">
        <v>1</v>
      </c>
      <c r="E28" s="35">
        <v>0.5</v>
      </c>
      <c r="F28" s="35">
        <f t="shared" si="0"/>
        <v>0.5</v>
      </c>
      <c r="G28" s="89" t="s">
        <v>130</v>
      </c>
      <c r="H28" s="89">
        <v>2</v>
      </c>
      <c r="I28" s="64" t="s">
        <v>99</v>
      </c>
      <c r="J28" s="64">
        <v>126</v>
      </c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193" t="s">
        <v>294</v>
      </c>
      <c r="C29" s="194"/>
      <c r="D29" s="194"/>
      <c r="E29" s="194"/>
      <c r="F29" s="194"/>
      <c r="G29" s="194"/>
      <c r="H29" s="194"/>
      <c r="I29" s="195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4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286</v>
      </c>
      <c r="D45" s="35">
        <f t="shared" ref="D45" si="5">SUM(C45*B45)</f>
        <v>858</v>
      </c>
      <c r="E45" s="64" t="s">
        <v>120</v>
      </c>
      <c r="F45" s="35">
        <f t="shared" si="4"/>
        <v>0</v>
      </c>
      <c r="G45" s="64" t="s">
        <v>130</v>
      </c>
      <c r="H45" s="35">
        <f>SUMIF($G$18:$G$43,G45,$F$18:$F$43)</f>
        <v>31.75</v>
      </c>
      <c r="I45" s="64" t="s">
        <v>127</v>
      </c>
      <c r="J45" s="35">
        <f>SUMIF($G$18:$G$43,I45,$F$18:$F$43)</f>
        <v>0.75</v>
      </c>
      <c r="O45" s="62"/>
    </row>
    <row r="46" spans="1:21" ht="17.100000000000001" customHeight="1" x14ac:dyDescent="0.25">
      <c r="A46" s="82"/>
      <c r="B46" s="82"/>
      <c r="C46" s="82"/>
      <c r="D46" s="82"/>
      <c r="E46" s="64" t="s">
        <v>121</v>
      </c>
      <c r="F46" s="35">
        <f t="shared" si="4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4"/>
        <v>0.25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4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286</v>
      </c>
      <c r="D49" s="35">
        <f>SUM(D45:D47)</f>
        <v>858</v>
      </c>
      <c r="E49" s="64" t="s">
        <v>124</v>
      </c>
      <c r="F49" s="35">
        <f t="shared" si="4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29:I29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G30 G18:G28 G31:G43" xr:uid="{B6B4FBD2-8923-416C-A74E-2584CDECE07D}">
      <formula1>$O$17:$O$48</formula1>
    </dataValidation>
    <dataValidation type="list" allowBlank="1" showInputMessage="1" showErrorMessage="1" sqref="H30 H18:H28 H31:H43" xr:uid="{21392FF8-E2C6-4180-9FD0-8CF7CE99BDF5}">
      <formula1>$R$17:$R$23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A3DE-CEFB-43AA-AD61-DDA95E420E6B}">
  <sheetPr>
    <pageSetUpPr fitToPage="1"/>
  </sheetPr>
  <dimension ref="A1:W71"/>
  <sheetViews>
    <sheetView topLeftCell="A3" zoomScaleNormal="100" workbookViewId="0">
      <selection activeCell="C18" sqref="C18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194</v>
      </c>
      <c r="L7" s="58" t="s">
        <v>296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201</v>
      </c>
      <c r="M9">
        <v>2929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202</v>
      </c>
      <c r="M10">
        <v>3176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200</v>
      </c>
      <c r="G11" s="143"/>
      <c r="H11" s="178"/>
      <c r="I11" s="180" t="s">
        <v>334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377</v>
      </c>
      <c r="H14" s="79" t="s">
        <v>203</v>
      </c>
      <c r="I14" s="177" t="s">
        <v>261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378</v>
      </c>
      <c r="H15" s="79" t="s">
        <v>204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80">
        <v>0</v>
      </c>
      <c r="C18" s="80">
        <v>247</v>
      </c>
      <c r="D18" s="72">
        <f>C18-B18</f>
        <v>247</v>
      </c>
      <c r="E18" s="35">
        <v>7.3</v>
      </c>
      <c r="F18" s="35">
        <f t="shared" ref="F18:F27" si="0">E18*D18</f>
        <v>1803.1</v>
      </c>
      <c r="G18" s="89" t="s">
        <v>110</v>
      </c>
      <c r="H18" s="89"/>
      <c r="I18" s="64" t="s">
        <v>105</v>
      </c>
      <c r="J18" s="64">
        <v>127</v>
      </c>
      <c r="K18" s="81">
        <f>B18-2929</f>
        <v>-2929</v>
      </c>
      <c r="L18" s="81">
        <f>C18-2929</f>
        <v>-2682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1</v>
      </c>
      <c r="C19" s="80"/>
      <c r="D19" s="90">
        <v>0.5</v>
      </c>
      <c r="E19" s="35">
        <v>0.5</v>
      </c>
      <c r="F19" s="35">
        <f t="shared" si="0"/>
        <v>0.25</v>
      </c>
      <c r="G19" s="89" t="s">
        <v>127</v>
      </c>
      <c r="H19" s="89"/>
      <c r="I19" s="64" t="s">
        <v>102</v>
      </c>
      <c r="J19" s="64">
        <v>127</v>
      </c>
      <c r="K19" s="81">
        <f t="shared" ref="K19:L35" si="1">B19-2929</f>
        <v>-2928</v>
      </c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268</v>
      </c>
      <c r="B20" s="80">
        <v>14</v>
      </c>
      <c r="C20" s="80">
        <v>16</v>
      </c>
      <c r="D20" s="72">
        <f>C20-B20</f>
        <v>2</v>
      </c>
      <c r="E20" s="35">
        <v>1</v>
      </c>
      <c r="F20" s="35">
        <f>E20*D20</f>
        <v>2</v>
      </c>
      <c r="G20" s="89" t="s">
        <v>130</v>
      </c>
      <c r="H20" s="89">
        <v>2</v>
      </c>
      <c r="I20" s="64" t="s">
        <v>102</v>
      </c>
      <c r="J20" s="64">
        <v>128</v>
      </c>
      <c r="K20" s="81">
        <f t="shared" si="1"/>
        <v>-2915</v>
      </c>
      <c r="L20" s="81">
        <f t="shared" si="1"/>
        <v>-2913</v>
      </c>
      <c r="O20" s="60" t="s">
        <v>121</v>
      </c>
      <c r="R20" s="59">
        <v>3</v>
      </c>
    </row>
    <row r="21" spans="1:18" ht="17.100000000000001" customHeight="1" x14ac:dyDescent="0.25">
      <c r="A21" s="78" t="s">
        <v>268</v>
      </c>
      <c r="B21" s="80">
        <v>17</v>
      </c>
      <c r="C21" s="80">
        <v>24</v>
      </c>
      <c r="D21" s="72">
        <f>C21-B21</f>
        <v>7</v>
      </c>
      <c r="E21" s="35">
        <v>0.5</v>
      </c>
      <c r="F21" s="35">
        <f>E21*D21</f>
        <v>3.5</v>
      </c>
      <c r="G21" s="89" t="s">
        <v>155</v>
      </c>
      <c r="H21" s="89">
        <v>1</v>
      </c>
      <c r="I21" s="64" t="s">
        <v>102</v>
      </c>
      <c r="J21" s="64"/>
      <c r="K21" s="81">
        <f t="shared" si="1"/>
        <v>-2912</v>
      </c>
      <c r="L21" s="81">
        <f t="shared" si="1"/>
        <v>-2905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</v>
      </c>
      <c r="B22" s="80">
        <v>36</v>
      </c>
      <c r="C22" s="80"/>
      <c r="D22" s="90">
        <v>0.5</v>
      </c>
      <c r="E22" s="35">
        <v>0.5</v>
      </c>
      <c r="F22" s="35">
        <f t="shared" si="0"/>
        <v>0.25</v>
      </c>
      <c r="G22" s="89" t="s">
        <v>148</v>
      </c>
      <c r="H22" s="89"/>
      <c r="I22" s="64" t="s">
        <v>102</v>
      </c>
      <c r="J22" s="64"/>
      <c r="K22" s="81">
        <f t="shared" si="1"/>
        <v>-2893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 t="s">
        <v>268</v>
      </c>
      <c r="B23" s="80">
        <v>36</v>
      </c>
      <c r="C23" s="80"/>
      <c r="D23" s="90">
        <v>0.5</v>
      </c>
      <c r="E23" s="35">
        <v>0.5</v>
      </c>
      <c r="F23" s="35">
        <f t="shared" ref="F23" si="2">E23*D23</f>
        <v>0.25</v>
      </c>
      <c r="G23" s="89" t="s">
        <v>148</v>
      </c>
      <c r="H23" s="89"/>
      <c r="I23" s="64" t="s">
        <v>102</v>
      </c>
      <c r="J23" s="64"/>
      <c r="K23" s="81">
        <f t="shared" si="1"/>
        <v>-2893</v>
      </c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268</v>
      </c>
      <c r="B24" s="80">
        <v>110</v>
      </c>
      <c r="C24" s="80"/>
      <c r="D24" s="90">
        <v>0.5</v>
      </c>
      <c r="E24" s="35">
        <v>3.65</v>
      </c>
      <c r="F24" s="35">
        <f t="shared" si="0"/>
        <v>1.825</v>
      </c>
      <c r="G24" s="89" t="s">
        <v>151</v>
      </c>
      <c r="H24" s="89"/>
      <c r="I24" s="64" t="s">
        <v>105</v>
      </c>
      <c r="J24" s="64"/>
      <c r="K24" s="81">
        <f t="shared" si="1"/>
        <v>-2819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268</v>
      </c>
      <c r="B25" s="80">
        <v>110</v>
      </c>
      <c r="C25" s="80"/>
      <c r="D25" s="90">
        <v>0.5</v>
      </c>
      <c r="E25" s="35">
        <v>0.5</v>
      </c>
      <c r="F25" s="35">
        <f t="shared" si="0"/>
        <v>0.25</v>
      </c>
      <c r="G25" s="89" t="s">
        <v>127</v>
      </c>
      <c r="H25" s="89"/>
      <c r="I25" s="64" t="s">
        <v>102</v>
      </c>
      <c r="J25" s="64">
        <v>129</v>
      </c>
      <c r="K25" s="81">
        <f t="shared" si="1"/>
        <v>-2819</v>
      </c>
      <c r="L25" s="81"/>
      <c r="O25" s="60" t="s">
        <v>130</v>
      </c>
      <c r="R25" s="58" t="s">
        <v>103</v>
      </c>
    </row>
    <row r="26" spans="1:18" ht="17.100000000000001" customHeight="1" x14ac:dyDescent="0.25">
      <c r="A26" s="78" t="s">
        <v>268</v>
      </c>
      <c r="B26" s="80">
        <v>119</v>
      </c>
      <c r="C26" s="80"/>
      <c r="D26" s="90">
        <v>0.5</v>
      </c>
      <c r="E26" s="35">
        <v>0.5</v>
      </c>
      <c r="F26" s="35">
        <f t="shared" si="0"/>
        <v>0.25</v>
      </c>
      <c r="G26" s="89" t="s">
        <v>148</v>
      </c>
      <c r="H26" s="89"/>
      <c r="I26" s="64" t="s">
        <v>102</v>
      </c>
      <c r="J26" s="64"/>
      <c r="K26" s="81">
        <f t="shared" si="1"/>
        <v>-2810</v>
      </c>
      <c r="L26" s="81"/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126</v>
      </c>
      <c r="C27" s="80">
        <v>127</v>
      </c>
      <c r="D27" s="72">
        <f>C27-B27</f>
        <v>1</v>
      </c>
      <c r="E27" s="35">
        <v>1</v>
      </c>
      <c r="F27" s="35">
        <f t="shared" si="0"/>
        <v>1</v>
      </c>
      <c r="G27" s="89" t="s">
        <v>121</v>
      </c>
      <c r="H27" s="89">
        <v>1</v>
      </c>
      <c r="I27" s="64" t="s">
        <v>102</v>
      </c>
      <c r="J27" s="64">
        <v>130</v>
      </c>
      <c r="K27" s="81">
        <f t="shared" si="1"/>
        <v>-2803</v>
      </c>
      <c r="L27" s="81">
        <f t="shared" si="1"/>
        <v>-2802</v>
      </c>
      <c r="O27" s="60" t="s">
        <v>126</v>
      </c>
      <c r="R27" s="58" t="s">
        <v>99</v>
      </c>
    </row>
    <row r="28" spans="1:18" ht="17.100000000000001" customHeight="1" x14ac:dyDescent="0.25">
      <c r="A28" s="78" t="s">
        <v>268</v>
      </c>
      <c r="B28" s="80">
        <v>128</v>
      </c>
      <c r="C28" s="80">
        <v>134</v>
      </c>
      <c r="D28" s="72">
        <f>C28-B28</f>
        <v>6</v>
      </c>
      <c r="E28" s="35">
        <v>0.5</v>
      </c>
      <c r="F28" s="35">
        <f>E28*D28</f>
        <v>3</v>
      </c>
      <c r="G28" s="89" t="s">
        <v>155</v>
      </c>
      <c r="H28" s="89">
        <v>1</v>
      </c>
      <c r="I28" s="64" t="s">
        <v>102</v>
      </c>
      <c r="J28" s="64"/>
      <c r="K28" s="81">
        <f t="shared" si="1"/>
        <v>-2801</v>
      </c>
      <c r="L28" s="81">
        <f t="shared" si="1"/>
        <v>-2795</v>
      </c>
      <c r="O28" s="60" t="s">
        <v>107</v>
      </c>
      <c r="R28" s="58" t="s">
        <v>105</v>
      </c>
    </row>
    <row r="29" spans="1:18" ht="17.100000000000001" customHeight="1" x14ac:dyDescent="0.25">
      <c r="A29" s="78" t="s">
        <v>268</v>
      </c>
      <c r="B29" s="80">
        <v>128</v>
      </c>
      <c r="C29" s="80">
        <v>150</v>
      </c>
      <c r="D29" s="72">
        <f>C29-B29</f>
        <v>22</v>
      </c>
      <c r="E29" s="35">
        <v>1</v>
      </c>
      <c r="F29" s="35">
        <f>E29*D29</f>
        <v>22</v>
      </c>
      <c r="G29" s="89" t="s">
        <v>155</v>
      </c>
      <c r="H29" s="89">
        <v>1</v>
      </c>
      <c r="I29" s="64" t="s">
        <v>103</v>
      </c>
      <c r="J29" s="64"/>
      <c r="K29" s="81">
        <f t="shared" si="1"/>
        <v>-2801</v>
      </c>
      <c r="L29" s="81">
        <f t="shared" si="1"/>
        <v>-2779</v>
      </c>
      <c r="O29" s="60" t="s">
        <v>127</v>
      </c>
    </row>
    <row r="30" spans="1:18" ht="17.100000000000001" customHeight="1" x14ac:dyDescent="0.25">
      <c r="A30" s="78" t="s">
        <v>268</v>
      </c>
      <c r="B30" s="80">
        <v>150</v>
      </c>
      <c r="C30" s="80">
        <v>157</v>
      </c>
      <c r="D30" s="72">
        <f>C30-B30</f>
        <v>7</v>
      </c>
      <c r="E30" s="35">
        <v>0.5</v>
      </c>
      <c r="F30" s="35">
        <f t="shared" ref="F30" si="3">E30*D30</f>
        <v>3.5</v>
      </c>
      <c r="G30" s="89" t="s">
        <v>120</v>
      </c>
      <c r="H30" s="89">
        <v>2</v>
      </c>
      <c r="I30" s="64" t="s">
        <v>103</v>
      </c>
      <c r="J30" s="64">
        <v>131</v>
      </c>
      <c r="K30" s="81">
        <f t="shared" si="1"/>
        <v>-2779</v>
      </c>
      <c r="L30" s="81">
        <f t="shared" si="1"/>
        <v>-2772</v>
      </c>
      <c r="O30" s="60" t="s">
        <v>156</v>
      </c>
    </row>
    <row r="31" spans="1:18" ht="17.100000000000001" customHeight="1" x14ac:dyDescent="0.25">
      <c r="A31" s="78" t="s">
        <v>268</v>
      </c>
      <c r="B31" s="80">
        <v>156</v>
      </c>
      <c r="C31" s="80">
        <v>161</v>
      </c>
      <c r="D31" s="72">
        <f>C31-B31</f>
        <v>5</v>
      </c>
      <c r="E31" s="35">
        <v>0.5</v>
      </c>
      <c r="F31" s="35">
        <f>E31*D31</f>
        <v>2.5</v>
      </c>
      <c r="G31" s="89" t="s">
        <v>155</v>
      </c>
      <c r="H31" s="89">
        <v>1</v>
      </c>
      <c r="I31" s="64" t="s">
        <v>102</v>
      </c>
      <c r="J31" s="64"/>
      <c r="K31" s="81">
        <f t="shared" si="1"/>
        <v>-2773</v>
      </c>
      <c r="L31" s="81">
        <f t="shared" si="1"/>
        <v>-2768</v>
      </c>
      <c r="O31" s="61" t="s">
        <v>128</v>
      </c>
    </row>
    <row r="32" spans="1:18" ht="17.100000000000001" customHeight="1" x14ac:dyDescent="0.25">
      <c r="A32" s="78" t="s">
        <v>268</v>
      </c>
      <c r="B32" s="80">
        <v>162</v>
      </c>
      <c r="C32" s="80"/>
      <c r="D32" s="90">
        <v>0.5</v>
      </c>
      <c r="E32" s="35">
        <v>0.5</v>
      </c>
      <c r="F32" s="35">
        <f t="shared" ref="F32" si="4">E32*D32</f>
        <v>0.25</v>
      </c>
      <c r="G32" s="89" t="s">
        <v>148</v>
      </c>
      <c r="H32" s="89"/>
      <c r="I32" s="64" t="s">
        <v>102</v>
      </c>
      <c r="J32" s="64"/>
      <c r="K32" s="81">
        <f t="shared" si="1"/>
        <v>-2767</v>
      </c>
      <c r="L32" s="81"/>
      <c r="O32" s="63" t="s">
        <v>155</v>
      </c>
    </row>
    <row r="33" spans="1:21" ht="17.100000000000001" customHeight="1" x14ac:dyDescent="0.25">
      <c r="A33" s="78" t="s">
        <v>268</v>
      </c>
      <c r="B33" s="80">
        <v>195</v>
      </c>
      <c r="C33" s="80"/>
      <c r="D33" s="90">
        <v>0.5</v>
      </c>
      <c r="E33" s="35">
        <v>0.5</v>
      </c>
      <c r="F33" s="35">
        <f t="shared" ref="F33" si="5">E33*D33</f>
        <v>0.25</v>
      </c>
      <c r="G33" s="89" t="s">
        <v>148</v>
      </c>
      <c r="H33" s="89"/>
      <c r="I33" s="64" t="s">
        <v>102</v>
      </c>
      <c r="J33" s="64"/>
      <c r="K33" s="81">
        <f t="shared" si="1"/>
        <v>-2734</v>
      </c>
      <c r="L33" s="81"/>
      <c r="O33" s="62" t="s">
        <v>150</v>
      </c>
    </row>
    <row r="34" spans="1:21" ht="17.100000000000001" customHeight="1" x14ac:dyDescent="0.25">
      <c r="A34" s="78" t="s">
        <v>268</v>
      </c>
      <c r="B34" s="80">
        <v>204</v>
      </c>
      <c r="C34" s="80"/>
      <c r="D34" s="90">
        <v>0.5</v>
      </c>
      <c r="E34" s="35">
        <v>0.5</v>
      </c>
      <c r="F34" s="35">
        <f t="shared" ref="F34" si="6">E34*D34</f>
        <v>0.25</v>
      </c>
      <c r="G34" s="89" t="s">
        <v>148</v>
      </c>
      <c r="H34" s="89"/>
      <c r="I34" s="64" t="s">
        <v>102</v>
      </c>
      <c r="J34" s="64"/>
      <c r="K34" s="81">
        <f t="shared" si="1"/>
        <v>-2725</v>
      </c>
      <c r="L34" s="81"/>
      <c r="O34" s="62" t="s">
        <v>107</v>
      </c>
    </row>
    <row r="35" spans="1:21" ht="17.100000000000001" customHeight="1" x14ac:dyDescent="0.25">
      <c r="A35" s="78" t="s">
        <v>268</v>
      </c>
      <c r="B35" s="80">
        <v>234</v>
      </c>
      <c r="C35" s="80"/>
      <c r="D35" s="90">
        <v>0.5</v>
      </c>
      <c r="E35" s="35">
        <v>0.5</v>
      </c>
      <c r="F35" s="35">
        <f t="shared" ref="F35" si="7">E35*D35</f>
        <v>0.25</v>
      </c>
      <c r="G35" s="89" t="s">
        <v>148</v>
      </c>
      <c r="H35" s="89"/>
      <c r="I35" s="64" t="s">
        <v>102</v>
      </c>
      <c r="J35" s="64"/>
      <c r="K35" s="81">
        <f t="shared" si="1"/>
        <v>-2695</v>
      </c>
      <c r="L35" s="81"/>
      <c r="O35" s="62" t="s">
        <v>112</v>
      </c>
    </row>
    <row r="36" spans="1:21" ht="17.100000000000001" customHeight="1" x14ac:dyDescent="0.25">
      <c r="A36" s="78"/>
      <c r="B36" s="188" t="s">
        <v>295</v>
      </c>
      <c r="C36" s="189"/>
      <c r="D36" s="189"/>
      <c r="E36" s="189"/>
      <c r="F36" s="189"/>
      <c r="G36" s="189"/>
      <c r="H36" s="189"/>
      <c r="I36" s="190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8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64">
        <v>3.65</v>
      </c>
      <c r="C45" s="35">
        <v>247</v>
      </c>
      <c r="D45" s="35">
        <f t="shared" ref="D45:D46" si="9">SUM(C45*B45)</f>
        <v>901.55</v>
      </c>
      <c r="E45" s="64" t="s">
        <v>120</v>
      </c>
      <c r="F45" s="35">
        <f t="shared" si="8"/>
        <v>3.5</v>
      </c>
      <c r="G45" s="64" t="s">
        <v>130</v>
      </c>
      <c r="H45" s="35">
        <f>SUMIF($G$18:$G$43,G45,$F$18:$F$43)</f>
        <v>2</v>
      </c>
      <c r="I45" s="64" t="s">
        <v>127</v>
      </c>
      <c r="J45" s="35">
        <f>SUMIF($G$18:$G$43,I45,$F$18:$F$43)</f>
        <v>0.5</v>
      </c>
      <c r="O45" s="62"/>
    </row>
    <row r="46" spans="1:21" ht="17.100000000000001" customHeight="1" x14ac:dyDescent="0.25">
      <c r="A46" s="64" t="s">
        <v>268</v>
      </c>
      <c r="B46" s="64">
        <v>3.65</v>
      </c>
      <c r="C46" s="35">
        <v>247</v>
      </c>
      <c r="D46" s="35">
        <f t="shared" si="9"/>
        <v>901.55</v>
      </c>
      <c r="E46" s="64" t="s">
        <v>121</v>
      </c>
      <c r="F46" s="35">
        <f t="shared" si="8"/>
        <v>1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8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8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494</v>
      </c>
      <c r="D49" s="35">
        <f>SUM(D45:D47)</f>
        <v>1803.1</v>
      </c>
      <c r="E49" s="64" t="s">
        <v>124</v>
      </c>
      <c r="F49" s="35">
        <f t="shared" si="8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36:I36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18:G35 G37:G43" xr:uid="{9D588B7F-6C13-4B66-AEB1-C4501967D865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A3E9-1A2C-4779-871F-A9C0D27ABD28}">
  <sheetPr>
    <pageSetUpPr fitToPage="1"/>
  </sheetPr>
  <dimension ref="A1:W71"/>
  <sheetViews>
    <sheetView zoomScaleNormal="100" workbookViewId="0">
      <selection activeCell="L25" sqref="L25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194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160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206</v>
      </c>
      <c r="M9">
        <v>1317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207</v>
      </c>
      <c r="M10">
        <v>1580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205</v>
      </c>
      <c r="G11" s="143"/>
      <c r="H11" s="178"/>
      <c r="I11" s="180" t="s">
        <v>335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379</v>
      </c>
      <c r="H14" s="79" t="s">
        <v>381</v>
      </c>
      <c r="I14" s="177" t="s">
        <v>262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380</v>
      </c>
      <c r="H15" s="79" t="s">
        <v>382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80">
        <v>0</v>
      </c>
      <c r="C18" s="80">
        <v>263</v>
      </c>
      <c r="D18" s="72">
        <f>C18-B18</f>
        <v>263</v>
      </c>
      <c r="E18" s="35">
        <v>6</v>
      </c>
      <c r="F18" s="35">
        <f t="shared" ref="F18:F21" si="0">E18*D18</f>
        <v>1578</v>
      </c>
      <c r="G18" s="89" t="s">
        <v>110</v>
      </c>
      <c r="H18" s="89"/>
      <c r="I18" s="64" t="s">
        <v>105</v>
      </c>
      <c r="J18" s="64">
        <v>132</v>
      </c>
      <c r="K18" s="81">
        <f>B18-1317</f>
        <v>-1317</v>
      </c>
      <c r="L18" s="81">
        <f>C18-1317</f>
        <v>-1054</v>
      </c>
      <c r="O18" s="60" t="s">
        <v>119</v>
      </c>
      <c r="R18" s="59">
        <v>1</v>
      </c>
    </row>
    <row r="19" spans="1:18" ht="17.100000000000001" customHeight="1" x14ac:dyDescent="0.25">
      <c r="A19" s="78" t="s">
        <v>268</v>
      </c>
      <c r="B19" s="80">
        <v>73</v>
      </c>
      <c r="C19" s="80"/>
      <c r="D19" s="90">
        <v>0.5</v>
      </c>
      <c r="E19" s="35">
        <v>0.5</v>
      </c>
      <c r="F19" s="35">
        <f>E19*D19</f>
        <v>0.25</v>
      </c>
      <c r="G19" s="89" t="s">
        <v>125</v>
      </c>
      <c r="H19" s="89">
        <v>1</v>
      </c>
      <c r="I19" s="64" t="s">
        <v>99</v>
      </c>
      <c r="J19" s="64">
        <v>133</v>
      </c>
      <c r="K19" s="81">
        <f t="shared" ref="K19:K20" si="1">B20-1317</f>
        <v>-1218</v>
      </c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99</v>
      </c>
      <c r="C20" s="80"/>
      <c r="D20" s="90">
        <v>0.5</v>
      </c>
      <c r="E20" s="35">
        <v>0.5</v>
      </c>
      <c r="F20" s="35">
        <f t="shared" si="0"/>
        <v>0.25</v>
      </c>
      <c r="G20" s="89" t="s">
        <v>148</v>
      </c>
      <c r="H20" s="89"/>
      <c r="I20" s="64" t="s">
        <v>102</v>
      </c>
      <c r="J20" s="64"/>
      <c r="K20" s="81">
        <f t="shared" si="1"/>
        <v>-1055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267</v>
      </c>
      <c r="B21" s="80">
        <v>262</v>
      </c>
      <c r="C21" s="80"/>
      <c r="D21" s="90">
        <v>0.5</v>
      </c>
      <c r="E21" s="35">
        <v>6</v>
      </c>
      <c r="F21" s="35">
        <f t="shared" si="0"/>
        <v>3</v>
      </c>
      <c r="G21" s="89" t="s">
        <v>151</v>
      </c>
      <c r="H21" s="89"/>
      <c r="I21" s="64" t="s">
        <v>105</v>
      </c>
      <c r="J21" s="64"/>
      <c r="K21" s="81">
        <f>B19-1317</f>
        <v>-1244</v>
      </c>
      <c r="L21" s="81"/>
      <c r="O21" s="60" t="s">
        <v>122</v>
      </c>
      <c r="R21" s="58" t="s">
        <v>99</v>
      </c>
    </row>
    <row r="22" spans="1:18" ht="17.100000000000001" customHeight="1" x14ac:dyDescent="0.25">
      <c r="A22" s="78"/>
      <c r="B22" s="193" t="s">
        <v>297</v>
      </c>
      <c r="C22" s="194"/>
      <c r="D22" s="194"/>
      <c r="E22" s="194"/>
      <c r="F22" s="194"/>
      <c r="G22" s="194"/>
      <c r="H22" s="194"/>
      <c r="I22" s="195"/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80"/>
      <c r="C23" s="80"/>
      <c r="D23" s="72"/>
      <c r="E23" s="35"/>
      <c r="F23" s="35"/>
      <c r="G23" s="83"/>
      <c r="H23" s="83"/>
      <c r="I23" s="64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2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263</v>
      </c>
      <c r="D45" s="35">
        <f t="shared" ref="D45" si="3">SUM(C45*B45)</f>
        <v>789</v>
      </c>
      <c r="E45" s="64" t="s">
        <v>120</v>
      </c>
      <c r="F45" s="35">
        <f t="shared" si="2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263</v>
      </c>
      <c r="D46" s="35">
        <f t="shared" ref="D46" si="4">SUM(C46*B46)</f>
        <v>789</v>
      </c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0.25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2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526</v>
      </c>
      <c r="D49" s="35">
        <f>SUM(D45:D47)</f>
        <v>1578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22:I22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H23:H43 H18:H21" xr:uid="{C1914A27-F341-4913-9817-7D9FA5687592}">
      <formula1>$R$17:$R$23</formula1>
    </dataValidation>
    <dataValidation type="list" allowBlank="1" showInputMessage="1" showErrorMessage="1" sqref="G23:G43 G18:G21" xr:uid="{23FBCC79-70B5-4C8A-B42E-883D3FA8D4DB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8F04-660F-4AF6-BE09-3879F17DB6A3}">
  <sheetPr>
    <pageSetUpPr fitToPage="1"/>
  </sheetPr>
  <dimension ref="A1:W71"/>
  <sheetViews>
    <sheetView topLeftCell="A9" zoomScaleNormal="100" workbookViewId="0">
      <selection activeCell="J22" sqref="J22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7773437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208</v>
      </c>
      <c r="L7" t="s">
        <v>299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159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210</v>
      </c>
      <c r="M9">
        <v>423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211</v>
      </c>
      <c r="M10">
        <v>1046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209</v>
      </c>
      <c r="G11" s="143"/>
      <c r="H11" s="178"/>
      <c r="I11" s="180" t="s">
        <v>336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383</v>
      </c>
      <c r="H14" s="79" t="s">
        <v>385</v>
      </c>
      <c r="I14" s="177" t="s">
        <v>263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384</v>
      </c>
      <c r="H15" s="79" t="s">
        <v>386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80">
        <v>0</v>
      </c>
      <c r="C18" s="80">
        <v>181</v>
      </c>
      <c r="D18" s="72">
        <f>C18-B18</f>
        <v>181</v>
      </c>
      <c r="E18" s="35">
        <v>6</v>
      </c>
      <c r="F18" s="35">
        <f t="shared" ref="F18:F33" si="0">E18*D18</f>
        <v>1086</v>
      </c>
      <c r="G18" s="89" t="s">
        <v>110</v>
      </c>
      <c r="H18" s="89"/>
      <c r="I18" s="64" t="s">
        <v>105</v>
      </c>
      <c r="J18" s="64">
        <v>134</v>
      </c>
      <c r="K18" s="81">
        <f>B18-423</f>
        <v>-423</v>
      </c>
      <c r="L18" s="81">
        <f>C18-423</f>
        <v>-242</v>
      </c>
      <c r="O18" s="60" t="s">
        <v>119</v>
      </c>
      <c r="R18" s="59">
        <v>1</v>
      </c>
    </row>
    <row r="19" spans="1:18" ht="17.100000000000001" customHeight="1" x14ac:dyDescent="0.25">
      <c r="A19" s="78" t="s">
        <v>268</v>
      </c>
      <c r="B19" s="80">
        <v>1</v>
      </c>
      <c r="C19" s="80">
        <v>2</v>
      </c>
      <c r="D19" s="72">
        <v>1</v>
      </c>
      <c r="E19" s="35">
        <v>1</v>
      </c>
      <c r="F19" s="35">
        <f>E19*D19</f>
        <v>1</v>
      </c>
      <c r="G19" s="89" t="s">
        <v>155</v>
      </c>
      <c r="H19" s="89">
        <v>1</v>
      </c>
      <c r="I19" s="64" t="s">
        <v>103</v>
      </c>
      <c r="J19" s="64"/>
      <c r="K19" s="81">
        <f t="shared" ref="K19:L39" si="1">B19-423</f>
        <v>-422</v>
      </c>
      <c r="L19" s="81">
        <f t="shared" si="1"/>
        <v>-421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11</v>
      </c>
      <c r="C20" s="80"/>
      <c r="D20" s="90">
        <v>0.5</v>
      </c>
      <c r="E20" s="35">
        <v>0.5</v>
      </c>
      <c r="F20" s="35">
        <f t="shared" si="0"/>
        <v>0.25</v>
      </c>
      <c r="G20" s="89" t="s">
        <v>148</v>
      </c>
      <c r="H20" s="89"/>
      <c r="I20" s="64" t="s">
        <v>102</v>
      </c>
      <c r="J20" s="64"/>
      <c r="K20" s="81">
        <f t="shared" si="1"/>
        <v>-412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27</v>
      </c>
      <c r="C21" s="80">
        <v>43</v>
      </c>
      <c r="D21" s="72">
        <f>C21-B21</f>
        <v>16</v>
      </c>
      <c r="E21" s="35">
        <v>0.5</v>
      </c>
      <c r="F21" s="35">
        <f t="shared" si="0"/>
        <v>8</v>
      </c>
      <c r="G21" s="89" t="s">
        <v>119</v>
      </c>
      <c r="H21" s="89">
        <v>1</v>
      </c>
      <c r="I21" s="64" t="s">
        <v>102</v>
      </c>
      <c r="J21" s="64">
        <v>135</v>
      </c>
      <c r="K21" s="81">
        <f t="shared" si="1"/>
        <v>-396</v>
      </c>
      <c r="L21" s="81">
        <f t="shared" si="1"/>
        <v>-380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43</v>
      </c>
      <c r="C22" s="80">
        <v>45</v>
      </c>
      <c r="D22" s="72">
        <f>C22-B22</f>
        <v>2</v>
      </c>
      <c r="E22" s="35">
        <v>0.5</v>
      </c>
      <c r="F22" s="35">
        <f t="shared" si="0"/>
        <v>1</v>
      </c>
      <c r="G22" s="89" t="s">
        <v>155</v>
      </c>
      <c r="H22" s="89">
        <v>1</v>
      </c>
      <c r="I22" s="64" t="s">
        <v>102</v>
      </c>
      <c r="J22" s="64"/>
      <c r="K22" s="81">
        <f t="shared" si="1"/>
        <v>-380</v>
      </c>
      <c r="L22" s="81">
        <f t="shared" si="1"/>
        <v>-378</v>
      </c>
      <c r="O22" s="60" t="s">
        <v>123</v>
      </c>
      <c r="R22" s="58" t="s">
        <v>100</v>
      </c>
    </row>
    <row r="23" spans="1:18" ht="17.100000000000001" customHeight="1" x14ac:dyDescent="0.25">
      <c r="A23" s="78" t="s">
        <v>268</v>
      </c>
      <c r="B23" s="80">
        <v>43</v>
      </c>
      <c r="C23" s="80">
        <v>61</v>
      </c>
      <c r="D23" s="72">
        <f>C23-B23</f>
        <v>18</v>
      </c>
      <c r="E23" s="35">
        <v>0.5</v>
      </c>
      <c r="F23" s="35">
        <f>E23*D23</f>
        <v>9</v>
      </c>
      <c r="G23" s="89" t="s">
        <v>130</v>
      </c>
      <c r="H23" s="89" t="s">
        <v>270</v>
      </c>
      <c r="I23" s="64" t="s">
        <v>102</v>
      </c>
      <c r="J23" s="64">
        <v>136</v>
      </c>
      <c r="K23" s="81">
        <f t="shared" si="1"/>
        <v>-380</v>
      </c>
      <c r="L23" s="81">
        <f t="shared" si="1"/>
        <v>-362</v>
      </c>
      <c r="O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76</v>
      </c>
      <c r="C24" s="80"/>
      <c r="D24" s="90">
        <v>0.5</v>
      </c>
      <c r="E24" s="35">
        <v>0.5</v>
      </c>
      <c r="F24" s="35">
        <f t="shared" si="0"/>
        <v>0.25</v>
      </c>
      <c r="G24" s="89" t="s">
        <v>148</v>
      </c>
      <c r="H24" s="89"/>
      <c r="I24" s="64" t="s">
        <v>102</v>
      </c>
      <c r="J24" s="64"/>
      <c r="K24" s="81">
        <f t="shared" si="1"/>
        <v>-347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122</v>
      </c>
      <c r="C25" s="80"/>
      <c r="D25" s="90">
        <v>0.5</v>
      </c>
      <c r="E25" s="35">
        <v>0.5</v>
      </c>
      <c r="F25" s="35">
        <f t="shared" ref="F25" si="2">E25*D25</f>
        <v>0.25</v>
      </c>
      <c r="G25" s="89" t="s">
        <v>148</v>
      </c>
      <c r="H25" s="89"/>
      <c r="I25" s="64" t="s">
        <v>102</v>
      </c>
      <c r="J25" s="64"/>
      <c r="K25" s="81">
        <f t="shared" si="1"/>
        <v>-301</v>
      </c>
      <c r="L25" s="81"/>
      <c r="O25" s="60" t="s">
        <v>130</v>
      </c>
      <c r="R25" s="58" t="s">
        <v>103</v>
      </c>
    </row>
    <row r="26" spans="1:18" ht="17.100000000000001" customHeight="1" x14ac:dyDescent="0.25">
      <c r="A26" s="78" t="s">
        <v>268</v>
      </c>
      <c r="B26" s="80">
        <v>175</v>
      </c>
      <c r="C26" s="80">
        <v>180</v>
      </c>
      <c r="D26" s="72">
        <f>C26-B26</f>
        <v>5</v>
      </c>
      <c r="E26" s="35">
        <v>0.5</v>
      </c>
      <c r="F26" s="35">
        <f>E26*D26</f>
        <v>2.5</v>
      </c>
      <c r="G26" s="89" t="s">
        <v>155</v>
      </c>
      <c r="H26" s="89">
        <v>1</v>
      </c>
      <c r="I26" s="64" t="s">
        <v>102</v>
      </c>
      <c r="J26" s="64"/>
      <c r="K26" s="81">
        <f t="shared" si="1"/>
        <v>-248</v>
      </c>
      <c r="L26" s="81">
        <f t="shared" si="1"/>
        <v>-243</v>
      </c>
      <c r="O26" s="60" t="s">
        <v>125</v>
      </c>
      <c r="R26" s="58" t="s">
        <v>104</v>
      </c>
    </row>
    <row r="27" spans="1:18" ht="17.100000000000001" customHeight="1" x14ac:dyDescent="0.25">
      <c r="A27" s="78" t="s">
        <v>267</v>
      </c>
      <c r="B27" s="80">
        <v>181</v>
      </c>
      <c r="C27" s="80">
        <v>187</v>
      </c>
      <c r="D27" s="72">
        <f>C27-B27</f>
        <v>6</v>
      </c>
      <c r="E27" s="35">
        <v>6</v>
      </c>
      <c r="F27" s="35">
        <f t="shared" si="0"/>
        <v>36</v>
      </c>
      <c r="G27" s="89" t="s">
        <v>111</v>
      </c>
      <c r="H27" s="89"/>
      <c r="I27" s="64" t="s">
        <v>105</v>
      </c>
      <c r="J27" s="64"/>
      <c r="K27" s="81">
        <f t="shared" si="1"/>
        <v>-242</v>
      </c>
      <c r="L27" s="81">
        <f t="shared" si="1"/>
        <v>-236</v>
      </c>
      <c r="O27" s="60" t="s">
        <v>126</v>
      </c>
      <c r="R27" s="58" t="s">
        <v>99</v>
      </c>
    </row>
    <row r="28" spans="1:18" ht="17.100000000000001" customHeight="1" x14ac:dyDescent="0.25">
      <c r="A28" s="78" t="s">
        <v>267</v>
      </c>
      <c r="B28" s="80">
        <v>181</v>
      </c>
      <c r="C28" s="80">
        <v>187</v>
      </c>
      <c r="D28" s="72">
        <f>C28-B28</f>
        <v>6</v>
      </c>
      <c r="E28" s="35">
        <v>6</v>
      </c>
      <c r="F28" s="35">
        <f>E28*D28</f>
        <v>36</v>
      </c>
      <c r="G28" s="89" t="s">
        <v>130</v>
      </c>
      <c r="H28" s="89">
        <v>2</v>
      </c>
      <c r="I28" s="64" t="s">
        <v>105</v>
      </c>
      <c r="J28" s="64">
        <v>137</v>
      </c>
      <c r="K28" s="81">
        <f t="shared" si="1"/>
        <v>-242</v>
      </c>
      <c r="L28" s="81">
        <f t="shared" si="1"/>
        <v>-236</v>
      </c>
      <c r="O28" s="60" t="s">
        <v>107</v>
      </c>
      <c r="R28" s="58" t="s">
        <v>105</v>
      </c>
    </row>
    <row r="29" spans="1:18" ht="17.100000000000001" customHeight="1" x14ac:dyDescent="0.25">
      <c r="A29" s="78" t="s">
        <v>267</v>
      </c>
      <c r="B29" s="80">
        <v>187</v>
      </c>
      <c r="C29" s="80">
        <v>623</v>
      </c>
      <c r="D29" s="72">
        <f>C29-B29</f>
        <v>436</v>
      </c>
      <c r="E29" s="35">
        <v>6</v>
      </c>
      <c r="F29" s="35">
        <f t="shared" si="0"/>
        <v>2616</v>
      </c>
      <c r="G29" s="89" t="s">
        <v>110</v>
      </c>
      <c r="H29" s="89"/>
      <c r="I29" s="64" t="s">
        <v>105</v>
      </c>
      <c r="J29" s="64"/>
      <c r="K29" s="81">
        <f t="shared" si="1"/>
        <v>-236</v>
      </c>
      <c r="L29" s="81">
        <f t="shared" si="1"/>
        <v>200</v>
      </c>
      <c r="O29" s="60" t="s">
        <v>127</v>
      </c>
    </row>
    <row r="30" spans="1:18" ht="17.100000000000001" customHeight="1" x14ac:dyDescent="0.25">
      <c r="A30" s="78" t="s">
        <v>21</v>
      </c>
      <c r="B30" s="80">
        <v>198</v>
      </c>
      <c r="C30" s="80">
        <v>200</v>
      </c>
      <c r="D30" s="72">
        <f>C30-B30</f>
        <v>2</v>
      </c>
      <c r="E30" s="35">
        <v>0.5</v>
      </c>
      <c r="F30" s="35">
        <f>E30*D30</f>
        <v>1</v>
      </c>
      <c r="G30" s="89" t="s">
        <v>130</v>
      </c>
      <c r="H30" s="89" t="s">
        <v>270</v>
      </c>
      <c r="I30" s="64" t="s">
        <v>102</v>
      </c>
      <c r="J30" s="64">
        <v>138</v>
      </c>
      <c r="K30" s="81">
        <f t="shared" si="1"/>
        <v>-225</v>
      </c>
      <c r="L30" s="81">
        <f t="shared" si="1"/>
        <v>-223</v>
      </c>
      <c r="O30" s="60" t="s">
        <v>156</v>
      </c>
    </row>
    <row r="31" spans="1:18" ht="17.100000000000001" customHeight="1" x14ac:dyDescent="0.25">
      <c r="A31" s="78" t="s">
        <v>21</v>
      </c>
      <c r="B31" s="80">
        <v>211</v>
      </c>
      <c r="C31" s="80"/>
      <c r="D31" s="90">
        <v>0.5</v>
      </c>
      <c r="E31" s="35">
        <v>0.5</v>
      </c>
      <c r="F31" s="35">
        <f>E31*D31</f>
        <v>0.25</v>
      </c>
      <c r="G31" s="89" t="s">
        <v>148</v>
      </c>
      <c r="H31" s="89" t="s">
        <v>300</v>
      </c>
      <c r="I31" s="64" t="s">
        <v>99</v>
      </c>
      <c r="J31" s="64">
        <v>139</v>
      </c>
      <c r="K31" s="81">
        <f t="shared" si="1"/>
        <v>-212</v>
      </c>
      <c r="L31" s="81"/>
      <c r="O31" s="61" t="s">
        <v>128</v>
      </c>
    </row>
    <row r="32" spans="1:18" ht="17.100000000000001" customHeight="1" x14ac:dyDescent="0.25">
      <c r="A32" s="78" t="s">
        <v>21</v>
      </c>
      <c r="B32" s="80">
        <v>235</v>
      </c>
      <c r="C32" s="80">
        <v>237</v>
      </c>
      <c r="D32" s="72">
        <v>2</v>
      </c>
      <c r="E32" s="35">
        <v>0.5</v>
      </c>
      <c r="F32" s="35">
        <f>E32*D32</f>
        <v>1</v>
      </c>
      <c r="G32" s="89" t="s">
        <v>148</v>
      </c>
      <c r="H32" s="89"/>
      <c r="I32" s="64" t="s">
        <v>102</v>
      </c>
      <c r="J32" s="64"/>
      <c r="K32" s="81">
        <f t="shared" si="1"/>
        <v>-188</v>
      </c>
      <c r="L32" s="81">
        <f t="shared" si="1"/>
        <v>-186</v>
      </c>
      <c r="O32" s="63" t="s">
        <v>155</v>
      </c>
    </row>
    <row r="33" spans="1:21" ht="17.100000000000001" customHeight="1" x14ac:dyDescent="0.25">
      <c r="A33" s="78" t="s">
        <v>267</v>
      </c>
      <c r="B33" s="80">
        <v>251</v>
      </c>
      <c r="C33" s="80"/>
      <c r="D33" s="90">
        <v>0.5</v>
      </c>
      <c r="E33" s="35">
        <v>6</v>
      </c>
      <c r="F33" s="35">
        <f t="shared" si="0"/>
        <v>3</v>
      </c>
      <c r="G33" s="89" t="s">
        <v>269</v>
      </c>
      <c r="H33" s="89"/>
      <c r="I33" s="64" t="s">
        <v>105</v>
      </c>
      <c r="J33" s="64"/>
      <c r="K33" s="81">
        <f t="shared" si="1"/>
        <v>-172</v>
      </c>
      <c r="L33" s="81"/>
      <c r="O33" s="62" t="s">
        <v>150</v>
      </c>
    </row>
    <row r="34" spans="1:21" ht="17.100000000000001" customHeight="1" x14ac:dyDescent="0.25">
      <c r="A34" s="78" t="s">
        <v>267</v>
      </c>
      <c r="B34" s="80">
        <v>262</v>
      </c>
      <c r="C34" s="80">
        <v>277</v>
      </c>
      <c r="D34" s="72">
        <f>C34-B34</f>
        <v>15</v>
      </c>
      <c r="E34" s="35">
        <v>6</v>
      </c>
      <c r="F34" s="35">
        <f t="shared" ref="F34:F39" si="3">E34*D34</f>
        <v>90</v>
      </c>
      <c r="G34" s="89" t="s">
        <v>123</v>
      </c>
      <c r="H34" s="89">
        <v>1</v>
      </c>
      <c r="I34" s="64" t="s">
        <v>105</v>
      </c>
      <c r="J34" s="64">
        <v>140</v>
      </c>
      <c r="K34" s="81">
        <f t="shared" si="1"/>
        <v>-161</v>
      </c>
      <c r="L34" s="81">
        <f t="shared" si="1"/>
        <v>-146</v>
      </c>
      <c r="O34" s="62" t="s">
        <v>107</v>
      </c>
    </row>
    <row r="35" spans="1:21" ht="17.100000000000001" customHeight="1" x14ac:dyDescent="0.25">
      <c r="A35" s="78" t="s">
        <v>268</v>
      </c>
      <c r="B35" s="80">
        <v>308</v>
      </c>
      <c r="C35" s="80">
        <v>355</v>
      </c>
      <c r="D35" s="72">
        <f>C35-B35</f>
        <v>47</v>
      </c>
      <c r="E35" s="35">
        <v>1</v>
      </c>
      <c r="F35" s="35">
        <f t="shared" si="3"/>
        <v>47</v>
      </c>
      <c r="G35" s="89" t="s">
        <v>122</v>
      </c>
      <c r="H35" s="89">
        <v>2</v>
      </c>
      <c r="I35" s="64" t="s">
        <v>102</v>
      </c>
      <c r="J35" s="64">
        <v>141</v>
      </c>
      <c r="K35" s="81">
        <f t="shared" si="1"/>
        <v>-115</v>
      </c>
      <c r="L35" s="81">
        <f t="shared" si="1"/>
        <v>-68</v>
      </c>
      <c r="O35" s="62" t="s">
        <v>112</v>
      </c>
    </row>
    <row r="36" spans="1:21" ht="17.100000000000001" customHeight="1" x14ac:dyDescent="0.25">
      <c r="A36" s="78" t="s">
        <v>267</v>
      </c>
      <c r="B36" s="80">
        <v>322</v>
      </c>
      <c r="C36" s="80">
        <v>409</v>
      </c>
      <c r="D36" s="72">
        <f>C36-B36</f>
        <v>87</v>
      </c>
      <c r="E36" s="35">
        <v>6</v>
      </c>
      <c r="F36" s="35">
        <f t="shared" si="3"/>
        <v>522</v>
      </c>
      <c r="G36" s="89" t="s">
        <v>123</v>
      </c>
      <c r="H36" s="89">
        <v>1</v>
      </c>
      <c r="I36" s="64" t="s">
        <v>105</v>
      </c>
      <c r="J36" s="64">
        <v>142</v>
      </c>
      <c r="K36" s="81">
        <f t="shared" si="1"/>
        <v>-101</v>
      </c>
      <c r="L36" s="81">
        <f t="shared" si="1"/>
        <v>-14</v>
      </c>
      <c r="O36" s="62" t="s">
        <v>148</v>
      </c>
    </row>
    <row r="37" spans="1:21" ht="17.100000000000001" customHeight="1" x14ac:dyDescent="0.25">
      <c r="A37" s="78" t="s">
        <v>267</v>
      </c>
      <c r="B37" s="80">
        <v>417</v>
      </c>
      <c r="C37" s="80"/>
      <c r="D37" s="90">
        <v>0.5</v>
      </c>
      <c r="E37" s="35">
        <v>6</v>
      </c>
      <c r="F37" s="35">
        <f t="shared" si="3"/>
        <v>3</v>
      </c>
      <c r="G37" s="89" t="s">
        <v>269</v>
      </c>
      <c r="H37" s="89"/>
      <c r="I37" s="64" t="s">
        <v>105</v>
      </c>
      <c r="J37" s="64"/>
      <c r="K37" s="81">
        <f t="shared" si="1"/>
        <v>-6</v>
      </c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 t="s">
        <v>268</v>
      </c>
      <c r="B38" s="80">
        <v>503</v>
      </c>
      <c r="C38" s="80">
        <v>512</v>
      </c>
      <c r="D38" s="72">
        <f>C38-B38</f>
        <v>9</v>
      </c>
      <c r="E38" s="35">
        <v>1.5</v>
      </c>
      <c r="F38" s="35">
        <f t="shared" si="3"/>
        <v>13.5</v>
      </c>
      <c r="G38" s="89" t="s">
        <v>155</v>
      </c>
      <c r="H38" s="89">
        <v>1</v>
      </c>
      <c r="I38" s="64" t="s">
        <v>102</v>
      </c>
      <c r="J38" s="64"/>
      <c r="K38" s="81">
        <f t="shared" si="1"/>
        <v>80</v>
      </c>
      <c r="L38" s="81">
        <f t="shared" si="1"/>
        <v>89</v>
      </c>
      <c r="O38" s="62" t="s">
        <v>151</v>
      </c>
    </row>
    <row r="39" spans="1:21" ht="17.100000000000001" customHeight="1" x14ac:dyDescent="0.25">
      <c r="A39" s="78" t="s">
        <v>268</v>
      </c>
      <c r="B39" s="80">
        <v>521</v>
      </c>
      <c r="C39" s="80"/>
      <c r="D39" s="90">
        <v>0.5</v>
      </c>
      <c r="E39" s="35">
        <v>1.5</v>
      </c>
      <c r="F39" s="35">
        <f t="shared" si="3"/>
        <v>0.75</v>
      </c>
      <c r="G39" s="89" t="s">
        <v>156</v>
      </c>
      <c r="H39" s="89" t="s">
        <v>278</v>
      </c>
      <c r="I39" s="64" t="s">
        <v>102</v>
      </c>
      <c r="J39" s="64">
        <v>143</v>
      </c>
      <c r="K39" s="81">
        <f t="shared" si="1"/>
        <v>98</v>
      </c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193" t="s">
        <v>301</v>
      </c>
      <c r="C40" s="194"/>
      <c r="D40" s="194"/>
      <c r="E40" s="194"/>
      <c r="F40" s="194"/>
      <c r="G40" s="194"/>
      <c r="H40" s="194"/>
      <c r="I40" s="195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>SUMIF($G$18:$G$43,E44,$F$18:$F$43)</f>
        <v>8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623</v>
      </c>
      <c r="D45" s="35">
        <f t="shared" ref="D45" si="4">SUM(C45*B45)</f>
        <v>1869</v>
      </c>
      <c r="E45" s="64" t="s">
        <v>120</v>
      </c>
      <c r="F45" s="35">
        <f t="shared" ref="F45:F49" si="5">SUMIF($G$18:$G$43,E45,$F$18:$F$43)</f>
        <v>0</v>
      </c>
      <c r="G45" s="64" t="s">
        <v>130</v>
      </c>
      <c r="H45" s="35">
        <f>SUMIF($G$18:$G$43,G45,$F$18:$F$43)</f>
        <v>46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623</v>
      </c>
      <c r="D46" s="35">
        <f t="shared" ref="D46" si="6">SUM(C46*B46)</f>
        <v>1869</v>
      </c>
      <c r="E46" s="64" t="s">
        <v>121</v>
      </c>
      <c r="F46" s="35">
        <f t="shared" si="5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0.75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5"/>
        <v>47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5"/>
        <v>612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1246</v>
      </c>
      <c r="D49" s="35">
        <f>SUM(D45:D47)</f>
        <v>3738</v>
      </c>
      <c r="E49" s="64" t="s">
        <v>124</v>
      </c>
      <c r="F49" s="35">
        <f t="shared" si="5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40:I40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18:G32 G41:G43 G34:G39" xr:uid="{45472015-8CD7-4CB6-8DEE-7D2FBC081DC9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3414-81D8-4DF6-82F7-C79508A619B0}">
  <sheetPr>
    <pageSetUpPr fitToPage="1"/>
  </sheetPr>
  <dimension ref="A1:X71"/>
  <sheetViews>
    <sheetView topLeftCell="A22" zoomScaleNormal="100" workbookViewId="0">
      <selection activeCell="K15" sqref="K15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2.77734375" customWidth="1"/>
    <col min="10" max="10" width="13.77734375" customWidth="1"/>
    <col min="11" max="11" width="13.109375" customWidth="1"/>
    <col min="12" max="12" width="11" bestFit="1" customWidth="1"/>
    <col min="14" max="14" width="11.33203125" bestFit="1" customWidth="1"/>
    <col min="16" max="16" width="23" customWidth="1"/>
    <col min="19" max="19" width="22.44140625" customWidth="1"/>
  </cols>
  <sheetData>
    <row r="1" spans="1:24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4" ht="13.8" x14ac:dyDescent="0.25">
      <c r="A2" s="18"/>
      <c r="B2" s="3"/>
      <c r="C2" s="3"/>
      <c r="D2" s="3"/>
      <c r="J2" s="19"/>
    </row>
    <row r="3" spans="1:24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55"/>
    </row>
    <row r="4" spans="1:24" x14ac:dyDescent="0.25">
      <c r="A4" s="20"/>
      <c r="J4" s="19"/>
    </row>
    <row r="5" spans="1:24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4" ht="13.8" thickTop="1" x14ac:dyDescent="0.25">
      <c r="L6" t="s">
        <v>167</v>
      </c>
    </row>
    <row r="7" spans="1:24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s="91"/>
      <c r="P7" s="27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25">
      <c r="A8" s="142" t="s">
        <v>163</v>
      </c>
      <c r="B8" s="143"/>
      <c r="C8" s="143"/>
      <c r="D8" s="143"/>
      <c r="E8" s="144"/>
      <c r="F8" s="160" t="s">
        <v>160</v>
      </c>
      <c r="G8" s="162" t="s">
        <v>164</v>
      </c>
      <c r="H8" s="163"/>
      <c r="I8" s="166">
        <v>45239</v>
      </c>
      <c r="J8" s="167"/>
      <c r="K8" s="37"/>
    </row>
    <row r="9" spans="1:24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s="37"/>
      <c r="L9" t="s">
        <v>165</v>
      </c>
      <c r="N9">
        <v>720</v>
      </c>
    </row>
    <row r="10" spans="1:24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s="92"/>
    </row>
    <row r="11" spans="1:24" x14ac:dyDescent="0.25">
      <c r="A11" s="176" t="s">
        <v>162</v>
      </c>
      <c r="B11" s="176"/>
      <c r="C11" s="177" t="s">
        <v>131</v>
      </c>
      <c r="D11" s="177"/>
      <c r="E11" s="177"/>
      <c r="F11" s="142" t="s">
        <v>395</v>
      </c>
      <c r="G11" s="143"/>
      <c r="H11" s="178"/>
      <c r="I11" s="180" t="s">
        <v>319</v>
      </c>
      <c r="J11" s="181"/>
      <c r="K11" s="93"/>
      <c r="L11" s="58" t="s">
        <v>166</v>
      </c>
      <c r="N11">
        <v>1703</v>
      </c>
    </row>
    <row r="12" spans="1:24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  <c r="K12" s="93"/>
    </row>
    <row r="13" spans="1:24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  <c r="K13" s="92"/>
    </row>
    <row r="14" spans="1:24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343</v>
      </c>
      <c r="H14" s="79" t="s">
        <v>345</v>
      </c>
      <c r="I14" s="177" t="s">
        <v>243</v>
      </c>
      <c r="J14" s="183"/>
      <c r="K14" s="94"/>
      <c r="N14" s="27"/>
    </row>
    <row r="15" spans="1:24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344</v>
      </c>
      <c r="H15" s="79" t="s">
        <v>346</v>
      </c>
      <c r="I15" s="184"/>
      <c r="J15" s="185"/>
      <c r="K15" s="94"/>
    </row>
    <row r="16" spans="1:24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92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72">
        <v>0</v>
      </c>
      <c r="C18" s="72">
        <v>983</v>
      </c>
      <c r="D18" s="72">
        <f>C18-B18</f>
        <v>983</v>
      </c>
      <c r="E18" s="35">
        <v>4</v>
      </c>
      <c r="F18" s="35">
        <f t="shared" ref="F18:F38" si="0">E18*D18</f>
        <v>3932</v>
      </c>
      <c r="G18" s="89" t="s">
        <v>110</v>
      </c>
      <c r="H18" s="35"/>
      <c r="I18" s="35" t="s">
        <v>105</v>
      </c>
      <c r="J18" s="64">
        <v>1</v>
      </c>
      <c r="K18" s="81">
        <f>B18-720</f>
        <v>-720</v>
      </c>
      <c r="L18" s="81">
        <f>C18-720</f>
        <v>263</v>
      </c>
      <c r="P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2</v>
      </c>
      <c r="C19" s="80">
        <v>3</v>
      </c>
      <c r="D19" s="72">
        <v>1</v>
      </c>
      <c r="E19" s="35">
        <v>0.5</v>
      </c>
      <c r="F19" s="35">
        <f t="shared" si="0"/>
        <v>0.5</v>
      </c>
      <c r="G19" s="89" t="s">
        <v>120</v>
      </c>
      <c r="H19" s="89">
        <v>2</v>
      </c>
      <c r="I19" s="64" t="s">
        <v>99</v>
      </c>
      <c r="J19" s="64">
        <v>1</v>
      </c>
      <c r="K19" s="81">
        <f t="shared" ref="K19:L39" si="1">B19-720</f>
        <v>-718</v>
      </c>
      <c r="L19" s="81">
        <f t="shared" si="1"/>
        <v>-717</v>
      </c>
      <c r="P19" s="60" t="s">
        <v>120</v>
      </c>
      <c r="R19" s="59">
        <v>2</v>
      </c>
    </row>
    <row r="20" spans="1:18" ht="17.100000000000001" customHeight="1" x14ac:dyDescent="0.25">
      <c r="A20" s="78" t="s">
        <v>267</v>
      </c>
      <c r="B20" s="80">
        <v>8</v>
      </c>
      <c r="C20" s="80"/>
      <c r="D20" s="90">
        <v>0.5</v>
      </c>
      <c r="E20" s="35">
        <v>4</v>
      </c>
      <c r="F20" s="35">
        <f t="shared" si="0"/>
        <v>2</v>
      </c>
      <c r="G20" s="89" t="s">
        <v>151</v>
      </c>
      <c r="H20" s="89"/>
      <c r="I20" s="64" t="s">
        <v>105</v>
      </c>
      <c r="J20" s="64"/>
      <c r="K20" s="81">
        <f t="shared" si="1"/>
        <v>-712</v>
      </c>
      <c r="L20" s="81"/>
      <c r="P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18</v>
      </c>
      <c r="C21" s="80">
        <v>22</v>
      </c>
      <c r="D21" s="72">
        <f>C21-B21</f>
        <v>4</v>
      </c>
      <c r="E21" s="35">
        <v>0.5</v>
      </c>
      <c r="F21" s="35">
        <f t="shared" si="0"/>
        <v>2</v>
      </c>
      <c r="G21" s="89" t="s">
        <v>124</v>
      </c>
      <c r="H21" s="89">
        <v>2</v>
      </c>
      <c r="I21" s="64" t="s">
        <v>99</v>
      </c>
      <c r="J21" s="64">
        <v>2</v>
      </c>
      <c r="K21" s="81">
        <f t="shared" si="1"/>
        <v>-702</v>
      </c>
      <c r="L21" s="81">
        <f t="shared" si="1"/>
        <v>-698</v>
      </c>
      <c r="P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87</v>
      </c>
      <c r="C22" s="80">
        <v>92</v>
      </c>
      <c r="D22" s="72">
        <f>C22-B22</f>
        <v>5</v>
      </c>
      <c r="E22" s="35">
        <v>1</v>
      </c>
      <c r="F22" s="35">
        <f t="shared" si="0"/>
        <v>5</v>
      </c>
      <c r="G22" s="89" t="s">
        <v>122</v>
      </c>
      <c r="H22" s="89">
        <v>2</v>
      </c>
      <c r="I22" s="64" t="s">
        <v>102</v>
      </c>
      <c r="J22" s="64">
        <v>3</v>
      </c>
      <c r="K22" s="81">
        <f t="shared" si="1"/>
        <v>-633</v>
      </c>
      <c r="L22" s="81">
        <f t="shared" si="1"/>
        <v>-628</v>
      </c>
      <c r="P22" s="60" t="s">
        <v>123</v>
      </c>
      <c r="R22" s="58" t="s">
        <v>100</v>
      </c>
    </row>
    <row r="23" spans="1:18" ht="17.100000000000001" customHeight="1" x14ac:dyDescent="0.25">
      <c r="A23" s="78" t="s">
        <v>268</v>
      </c>
      <c r="B23" s="80">
        <v>133</v>
      </c>
      <c r="C23" s="80">
        <v>139</v>
      </c>
      <c r="D23" s="72">
        <f>C23-B23</f>
        <v>6</v>
      </c>
      <c r="E23" s="35">
        <v>0.5</v>
      </c>
      <c r="F23" s="35">
        <f t="shared" si="0"/>
        <v>3</v>
      </c>
      <c r="G23" s="89" t="s">
        <v>120</v>
      </c>
      <c r="H23" s="89">
        <v>2</v>
      </c>
      <c r="I23" s="64" t="s">
        <v>99</v>
      </c>
      <c r="J23" s="64">
        <v>4</v>
      </c>
      <c r="K23" s="81">
        <f t="shared" si="1"/>
        <v>-587</v>
      </c>
      <c r="L23" s="81">
        <f t="shared" si="1"/>
        <v>-581</v>
      </c>
      <c r="P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320</v>
      </c>
      <c r="C24" s="80"/>
      <c r="D24" s="90">
        <v>0.5</v>
      </c>
      <c r="E24" s="35">
        <v>0.5</v>
      </c>
      <c r="F24" s="35">
        <f t="shared" si="0"/>
        <v>0.25</v>
      </c>
      <c r="G24" s="89" t="s">
        <v>120</v>
      </c>
      <c r="H24" s="89">
        <v>2</v>
      </c>
      <c r="I24" s="64" t="s">
        <v>99</v>
      </c>
      <c r="J24" s="64">
        <v>5</v>
      </c>
      <c r="K24" s="81">
        <f t="shared" si="1"/>
        <v>-400</v>
      </c>
      <c r="L24" s="81"/>
      <c r="M24" s="1"/>
      <c r="P24" s="60" t="s">
        <v>129</v>
      </c>
      <c r="R24" s="58" t="s">
        <v>102</v>
      </c>
    </row>
    <row r="25" spans="1:18" ht="17.100000000000001" customHeight="1" x14ac:dyDescent="0.25">
      <c r="A25" s="78" t="s">
        <v>267</v>
      </c>
      <c r="B25" s="80">
        <v>376</v>
      </c>
      <c r="C25" s="80"/>
      <c r="D25" s="90">
        <v>0.5</v>
      </c>
      <c r="E25" s="35">
        <v>4</v>
      </c>
      <c r="F25" s="35">
        <f>E25*D25</f>
        <v>2</v>
      </c>
      <c r="G25" s="89" t="s">
        <v>125</v>
      </c>
      <c r="H25" s="89">
        <v>1</v>
      </c>
      <c r="I25" s="64" t="s">
        <v>105</v>
      </c>
      <c r="J25" s="64">
        <v>6</v>
      </c>
      <c r="K25" s="81">
        <f t="shared" si="1"/>
        <v>-344</v>
      </c>
      <c r="L25" s="81"/>
      <c r="P25" s="60" t="s">
        <v>130</v>
      </c>
      <c r="R25" s="58" t="s">
        <v>103</v>
      </c>
    </row>
    <row r="26" spans="1:18" ht="17.100000000000001" customHeight="1" x14ac:dyDescent="0.25">
      <c r="A26" s="78" t="s">
        <v>268</v>
      </c>
      <c r="B26" s="80">
        <v>410</v>
      </c>
      <c r="C26" s="80"/>
      <c r="D26" s="90">
        <v>0.5</v>
      </c>
      <c r="E26" s="35">
        <v>0.5</v>
      </c>
      <c r="F26" s="35">
        <f t="shared" si="0"/>
        <v>0.25</v>
      </c>
      <c r="G26" s="89" t="s">
        <v>130</v>
      </c>
      <c r="H26" s="89">
        <v>2</v>
      </c>
      <c r="I26" s="64" t="s">
        <v>102</v>
      </c>
      <c r="J26" s="64">
        <v>7</v>
      </c>
      <c r="K26" s="81">
        <f t="shared" si="1"/>
        <v>-310</v>
      </c>
      <c r="L26" s="81"/>
      <c r="P26" s="60" t="s">
        <v>125</v>
      </c>
      <c r="R26" s="58" t="s">
        <v>104</v>
      </c>
    </row>
    <row r="27" spans="1:18" ht="17.100000000000001" customHeight="1" x14ac:dyDescent="0.25">
      <c r="A27" s="78" t="s">
        <v>268</v>
      </c>
      <c r="B27" s="80">
        <v>489</v>
      </c>
      <c r="C27" s="80">
        <v>499</v>
      </c>
      <c r="D27" s="72">
        <f>C27-B27</f>
        <v>10</v>
      </c>
      <c r="E27" s="35">
        <v>0.5</v>
      </c>
      <c r="F27" s="35">
        <f>E27*D27</f>
        <v>5</v>
      </c>
      <c r="G27" s="89" t="s">
        <v>130</v>
      </c>
      <c r="H27" s="89" t="s">
        <v>270</v>
      </c>
      <c r="I27" s="64" t="s">
        <v>102</v>
      </c>
      <c r="J27" s="64">
        <v>8</v>
      </c>
      <c r="K27" s="81">
        <f t="shared" si="1"/>
        <v>-231</v>
      </c>
      <c r="L27" s="81">
        <f t="shared" si="1"/>
        <v>-221</v>
      </c>
      <c r="P27" s="60" t="s">
        <v>126</v>
      </c>
      <c r="R27" s="58" t="s">
        <v>99</v>
      </c>
    </row>
    <row r="28" spans="1:18" ht="17.100000000000001" customHeight="1" x14ac:dyDescent="0.25">
      <c r="A28" s="78" t="s">
        <v>268</v>
      </c>
      <c r="B28" s="80">
        <v>493</v>
      </c>
      <c r="C28" s="80">
        <v>499</v>
      </c>
      <c r="D28" s="72">
        <f>C28-B28</f>
        <v>6</v>
      </c>
      <c r="E28" s="35">
        <v>0.5</v>
      </c>
      <c r="F28" s="35">
        <f t="shared" si="0"/>
        <v>3</v>
      </c>
      <c r="G28" s="89" t="s">
        <v>120</v>
      </c>
      <c r="H28" s="89">
        <v>2</v>
      </c>
      <c r="I28" s="64" t="s">
        <v>99</v>
      </c>
      <c r="J28" s="64">
        <v>8</v>
      </c>
      <c r="K28" s="81">
        <f t="shared" si="1"/>
        <v>-227</v>
      </c>
      <c r="L28" s="81">
        <f t="shared" si="1"/>
        <v>-221</v>
      </c>
      <c r="P28" s="60" t="s">
        <v>107</v>
      </c>
      <c r="R28" s="58" t="s">
        <v>105</v>
      </c>
    </row>
    <row r="29" spans="1:18" ht="17.100000000000001" customHeight="1" x14ac:dyDescent="0.25">
      <c r="A29" s="78" t="s">
        <v>268</v>
      </c>
      <c r="B29" s="80">
        <v>560</v>
      </c>
      <c r="C29" s="80">
        <v>562</v>
      </c>
      <c r="D29" s="72">
        <v>2</v>
      </c>
      <c r="E29" s="35">
        <v>0.5</v>
      </c>
      <c r="F29" s="35">
        <f t="shared" si="0"/>
        <v>1</v>
      </c>
      <c r="G29" s="89" t="s">
        <v>120</v>
      </c>
      <c r="H29" s="89">
        <v>2</v>
      </c>
      <c r="I29" s="64" t="s">
        <v>102</v>
      </c>
      <c r="J29" s="64">
        <v>9</v>
      </c>
      <c r="K29" s="81">
        <f t="shared" si="1"/>
        <v>-160</v>
      </c>
      <c r="L29" s="81">
        <f t="shared" si="1"/>
        <v>-158</v>
      </c>
      <c r="P29" s="60" t="s">
        <v>127</v>
      </c>
    </row>
    <row r="30" spans="1:18" ht="17.100000000000001" customHeight="1" x14ac:dyDescent="0.25">
      <c r="A30" s="78" t="s">
        <v>267</v>
      </c>
      <c r="B30" s="80">
        <v>586</v>
      </c>
      <c r="C30" s="80"/>
      <c r="D30" s="90">
        <v>0.5</v>
      </c>
      <c r="E30" s="35">
        <v>4</v>
      </c>
      <c r="F30" s="35">
        <f t="shared" si="0"/>
        <v>2</v>
      </c>
      <c r="G30" s="89" t="s">
        <v>269</v>
      </c>
      <c r="H30" s="89"/>
      <c r="I30" s="64" t="s">
        <v>105</v>
      </c>
      <c r="J30" s="64"/>
      <c r="K30" s="81">
        <f t="shared" si="1"/>
        <v>-134</v>
      </c>
      <c r="L30" s="81"/>
      <c r="P30" s="60" t="s">
        <v>156</v>
      </c>
    </row>
    <row r="31" spans="1:18" ht="17.100000000000001" customHeight="1" x14ac:dyDescent="0.25">
      <c r="A31" s="78" t="s">
        <v>21</v>
      </c>
      <c r="B31" s="80">
        <v>588</v>
      </c>
      <c r="C31" s="80"/>
      <c r="D31" s="90">
        <v>0.5</v>
      </c>
      <c r="E31" s="35">
        <v>4</v>
      </c>
      <c r="F31" s="35">
        <f t="shared" si="0"/>
        <v>2</v>
      </c>
      <c r="G31" s="89" t="s">
        <v>126</v>
      </c>
      <c r="H31" s="89">
        <v>2</v>
      </c>
      <c r="I31" s="64" t="s">
        <v>105</v>
      </c>
      <c r="J31" s="64">
        <v>10</v>
      </c>
      <c r="K31" s="81">
        <f t="shared" si="1"/>
        <v>-132</v>
      </c>
      <c r="L31" s="81"/>
      <c r="P31" s="61" t="s">
        <v>128</v>
      </c>
    </row>
    <row r="32" spans="1:18" ht="17.100000000000001" customHeight="1" x14ac:dyDescent="0.25">
      <c r="A32" s="78" t="s">
        <v>21</v>
      </c>
      <c r="B32" s="80">
        <v>595</v>
      </c>
      <c r="C32" s="80"/>
      <c r="D32" s="90">
        <v>0.5</v>
      </c>
      <c r="E32" s="35">
        <v>0.5</v>
      </c>
      <c r="F32" s="35">
        <f t="shared" si="0"/>
        <v>0.25</v>
      </c>
      <c r="G32" s="89" t="s">
        <v>127</v>
      </c>
      <c r="H32" s="89"/>
      <c r="I32" s="64" t="s">
        <v>102</v>
      </c>
      <c r="J32" s="64">
        <v>11</v>
      </c>
      <c r="K32" s="81">
        <f t="shared" si="1"/>
        <v>-125</v>
      </c>
      <c r="L32" s="81"/>
      <c r="P32" s="63" t="s">
        <v>155</v>
      </c>
    </row>
    <row r="33" spans="1:21" ht="17.100000000000001" customHeight="1" x14ac:dyDescent="0.25">
      <c r="A33" s="78" t="s">
        <v>21</v>
      </c>
      <c r="B33" s="80">
        <v>595</v>
      </c>
      <c r="C33" s="80">
        <v>598</v>
      </c>
      <c r="D33" s="72">
        <f>C33-B33</f>
        <v>3</v>
      </c>
      <c r="E33" s="35">
        <v>0.5</v>
      </c>
      <c r="F33" s="35">
        <f t="shared" si="0"/>
        <v>1.5</v>
      </c>
      <c r="G33" s="89" t="s">
        <v>130</v>
      </c>
      <c r="H33" s="89">
        <v>2</v>
      </c>
      <c r="I33" s="64" t="s">
        <v>102</v>
      </c>
      <c r="J33" s="64">
        <v>11</v>
      </c>
      <c r="K33" s="81">
        <f t="shared" si="1"/>
        <v>-125</v>
      </c>
      <c r="L33" s="81">
        <f t="shared" si="1"/>
        <v>-122</v>
      </c>
      <c r="P33" s="62" t="s">
        <v>150</v>
      </c>
    </row>
    <row r="34" spans="1:21" ht="17.100000000000001" customHeight="1" x14ac:dyDescent="0.25">
      <c r="A34" s="78" t="s">
        <v>268</v>
      </c>
      <c r="B34" s="80">
        <v>635</v>
      </c>
      <c r="C34" s="80">
        <v>661</v>
      </c>
      <c r="D34" s="72">
        <f>C34-B34</f>
        <v>26</v>
      </c>
      <c r="E34" s="35">
        <v>0.5</v>
      </c>
      <c r="F34" s="35">
        <f t="shared" si="0"/>
        <v>13</v>
      </c>
      <c r="G34" s="89" t="s">
        <v>120</v>
      </c>
      <c r="H34" s="89">
        <v>2</v>
      </c>
      <c r="I34" s="64" t="s">
        <v>102</v>
      </c>
      <c r="J34" s="64">
        <v>12</v>
      </c>
      <c r="K34" s="81">
        <f t="shared" si="1"/>
        <v>-85</v>
      </c>
      <c r="L34" s="81">
        <f t="shared" si="1"/>
        <v>-59</v>
      </c>
      <c r="P34" s="62" t="s">
        <v>107</v>
      </c>
    </row>
    <row r="35" spans="1:21" ht="17.100000000000001" customHeight="1" x14ac:dyDescent="0.25">
      <c r="A35" s="78" t="s">
        <v>21</v>
      </c>
      <c r="B35" s="80">
        <v>696</v>
      </c>
      <c r="C35" s="80">
        <v>698</v>
      </c>
      <c r="D35" s="72">
        <v>2</v>
      </c>
      <c r="E35" s="35">
        <v>0.5</v>
      </c>
      <c r="F35" s="35">
        <f t="shared" ref="F35" si="2">E35*D35</f>
        <v>1</v>
      </c>
      <c r="G35" s="89" t="s">
        <v>120</v>
      </c>
      <c r="H35" s="89">
        <v>2</v>
      </c>
      <c r="I35" s="64" t="s">
        <v>102</v>
      </c>
      <c r="J35" s="64">
        <v>13</v>
      </c>
      <c r="K35" s="81">
        <f t="shared" si="1"/>
        <v>-24</v>
      </c>
      <c r="L35" s="81">
        <f t="shared" si="1"/>
        <v>-22</v>
      </c>
      <c r="P35" s="62" t="s">
        <v>112</v>
      </c>
    </row>
    <row r="36" spans="1:21" ht="17.100000000000001" customHeight="1" x14ac:dyDescent="0.25">
      <c r="A36" s="78" t="s">
        <v>268</v>
      </c>
      <c r="B36" s="80">
        <v>697</v>
      </c>
      <c r="C36" s="80">
        <v>702</v>
      </c>
      <c r="D36" s="72">
        <f>C36-B36</f>
        <v>5</v>
      </c>
      <c r="E36" s="35">
        <v>1</v>
      </c>
      <c r="F36" s="35">
        <f t="shared" si="0"/>
        <v>5</v>
      </c>
      <c r="G36" s="89" t="s">
        <v>122</v>
      </c>
      <c r="H36" s="89">
        <v>2</v>
      </c>
      <c r="I36" s="64" t="s">
        <v>99</v>
      </c>
      <c r="J36" s="64">
        <v>14</v>
      </c>
      <c r="K36" s="81">
        <f t="shared" si="1"/>
        <v>-23</v>
      </c>
      <c r="L36" s="81">
        <f t="shared" si="1"/>
        <v>-18</v>
      </c>
      <c r="P36" s="62" t="s">
        <v>148</v>
      </c>
    </row>
    <row r="37" spans="1:21" ht="17.100000000000001" customHeight="1" x14ac:dyDescent="0.25">
      <c r="A37" s="78" t="s">
        <v>21</v>
      </c>
      <c r="B37" s="80">
        <v>733</v>
      </c>
      <c r="C37" s="80">
        <v>734</v>
      </c>
      <c r="D37" s="72">
        <v>1</v>
      </c>
      <c r="E37" s="35">
        <v>0.5</v>
      </c>
      <c r="F37" s="35">
        <f t="shared" si="0"/>
        <v>0.5</v>
      </c>
      <c r="G37" s="89" t="s">
        <v>130</v>
      </c>
      <c r="H37" s="89" t="s">
        <v>270</v>
      </c>
      <c r="I37" s="64" t="s">
        <v>102</v>
      </c>
      <c r="J37" s="64">
        <v>15</v>
      </c>
      <c r="K37" s="81">
        <f t="shared" si="1"/>
        <v>13</v>
      </c>
      <c r="L37" s="81">
        <f t="shared" si="1"/>
        <v>14</v>
      </c>
      <c r="M37" s="6"/>
      <c r="N37" s="6"/>
      <c r="P37" s="62" t="s">
        <v>108</v>
      </c>
      <c r="Q37" s="6"/>
      <c r="R37" s="6"/>
      <c r="S37" s="27"/>
      <c r="T37" s="5"/>
      <c r="U37" s="5"/>
    </row>
    <row r="38" spans="1:21" ht="17.100000000000001" customHeight="1" x14ac:dyDescent="0.25">
      <c r="A38" s="78" t="s">
        <v>21</v>
      </c>
      <c r="B38" s="80">
        <v>794</v>
      </c>
      <c r="C38" s="80">
        <v>795</v>
      </c>
      <c r="D38" s="72">
        <v>1</v>
      </c>
      <c r="E38" s="35">
        <v>0.5</v>
      </c>
      <c r="F38" s="35">
        <f t="shared" si="0"/>
        <v>0.5</v>
      </c>
      <c r="G38" s="89" t="s">
        <v>120</v>
      </c>
      <c r="H38" s="89">
        <v>2</v>
      </c>
      <c r="I38" s="64" t="s">
        <v>102</v>
      </c>
      <c r="J38" s="64">
        <v>16</v>
      </c>
      <c r="K38" s="81">
        <f t="shared" si="1"/>
        <v>74</v>
      </c>
      <c r="L38" s="81">
        <f t="shared" si="1"/>
        <v>75</v>
      </c>
      <c r="P38" s="62" t="s">
        <v>151</v>
      </c>
    </row>
    <row r="39" spans="1:21" ht="17.100000000000001" customHeight="1" x14ac:dyDescent="0.25">
      <c r="A39" s="78" t="s">
        <v>268</v>
      </c>
      <c r="B39" s="80">
        <v>798</v>
      </c>
      <c r="C39" s="80">
        <v>799</v>
      </c>
      <c r="D39" s="72">
        <v>1</v>
      </c>
      <c r="E39" s="35">
        <v>0.5</v>
      </c>
      <c r="F39" s="35">
        <f t="shared" ref="F39" si="3">E39*D39</f>
        <v>0.5</v>
      </c>
      <c r="G39" s="89" t="s">
        <v>120</v>
      </c>
      <c r="H39" s="89">
        <v>2</v>
      </c>
      <c r="I39" s="64" t="s">
        <v>99</v>
      </c>
      <c r="J39" s="64">
        <v>16</v>
      </c>
      <c r="K39" s="81">
        <f t="shared" si="1"/>
        <v>78</v>
      </c>
      <c r="L39" s="81">
        <f t="shared" si="1"/>
        <v>79</v>
      </c>
      <c r="M39" s="57"/>
      <c r="N39" s="5"/>
      <c r="P39" s="62" t="s">
        <v>149</v>
      </c>
      <c r="Q39" s="5"/>
      <c r="R39" s="5"/>
      <c r="S39" s="5"/>
      <c r="T39" s="5"/>
      <c r="U39" s="27"/>
    </row>
    <row r="40" spans="1:21" ht="17.100000000000001" customHeight="1" x14ac:dyDescent="0.25">
      <c r="A40" s="78"/>
      <c r="B40" s="193" t="s">
        <v>311</v>
      </c>
      <c r="C40" s="194"/>
      <c r="D40" s="194"/>
      <c r="E40" s="194"/>
      <c r="F40" s="194"/>
      <c r="G40" s="194"/>
      <c r="H40" s="194"/>
      <c r="I40" s="195"/>
      <c r="J40" s="64"/>
      <c r="K40" s="81"/>
      <c r="L40" s="81"/>
      <c r="P40" s="62" t="s">
        <v>109</v>
      </c>
    </row>
    <row r="41" spans="1:21" ht="17.100000000000001" customHeight="1" x14ac:dyDescent="0.25">
      <c r="A41" s="78"/>
      <c r="B41" s="188" t="s">
        <v>271</v>
      </c>
      <c r="C41" s="189"/>
      <c r="D41" s="189"/>
      <c r="E41" s="189"/>
      <c r="F41" s="189"/>
      <c r="G41" s="189"/>
      <c r="H41" s="189"/>
      <c r="I41" s="190"/>
      <c r="J41" s="64"/>
      <c r="K41" s="81"/>
      <c r="L41" s="81"/>
      <c r="P41" s="62" t="s">
        <v>152</v>
      </c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P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P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4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95">
        <f>SUMIF($G$18:$G$43,I44,$F$18:$F$43)</f>
        <v>0</v>
      </c>
      <c r="K44" s="44"/>
      <c r="P44" s="62" t="s">
        <v>111</v>
      </c>
    </row>
    <row r="45" spans="1:21" ht="17.100000000000001" customHeight="1" x14ac:dyDescent="0.25">
      <c r="A45" s="64" t="s">
        <v>21</v>
      </c>
      <c r="B45" s="35">
        <v>2</v>
      </c>
      <c r="C45" s="35">
        <v>983</v>
      </c>
      <c r="D45" s="35">
        <f t="shared" ref="D45:D46" si="5">SUM(C45*B45)</f>
        <v>1966</v>
      </c>
      <c r="E45" s="64" t="s">
        <v>120</v>
      </c>
      <c r="F45" s="35">
        <f t="shared" si="4"/>
        <v>22.75</v>
      </c>
      <c r="G45" s="64" t="s">
        <v>130</v>
      </c>
      <c r="H45" s="35">
        <f>SUMIF($G$18:$G$43,G45,$F$18:$F$43)</f>
        <v>7.25</v>
      </c>
      <c r="I45" s="64" t="s">
        <v>127</v>
      </c>
      <c r="J45" s="35">
        <f>SUMIF($G$18:$G$43,I45,$F$18:$F$43)</f>
        <v>0.25</v>
      </c>
      <c r="K45" s="44"/>
      <c r="P45" s="62"/>
    </row>
    <row r="46" spans="1:21" ht="17.100000000000001" customHeight="1" x14ac:dyDescent="0.25">
      <c r="A46" s="64" t="s">
        <v>268</v>
      </c>
      <c r="B46" s="35">
        <v>2</v>
      </c>
      <c r="C46" s="35">
        <v>983</v>
      </c>
      <c r="D46" s="35">
        <f t="shared" si="5"/>
        <v>1966</v>
      </c>
      <c r="E46" s="64" t="s">
        <v>121</v>
      </c>
      <c r="F46" s="35">
        <f t="shared" si="4"/>
        <v>0</v>
      </c>
      <c r="G46" s="64" t="s">
        <v>125</v>
      </c>
      <c r="H46" s="35">
        <f>SUMIF($G$18:$G$43,G46,$F$18:$F$43)</f>
        <v>2</v>
      </c>
      <c r="I46" s="64" t="s">
        <v>156</v>
      </c>
      <c r="J46" s="35">
        <f>SUMIF($G$18:$G$43,I46,$F$18:$F$43)</f>
        <v>0</v>
      </c>
      <c r="K46" s="44"/>
      <c r="P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4"/>
        <v>10</v>
      </c>
      <c r="G47" s="64" t="s">
        <v>126</v>
      </c>
      <c r="H47" s="35">
        <f>SUMIF($G$18:$G$43,G47,$F$18:$F$43)</f>
        <v>2</v>
      </c>
      <c r="I47" s="64" t="s">
        <v>128</v>
      </c>
      <c r="J47" s="35">
        <f>SUMIF($G$18:$G$43,I47,$F$18:$F$43)</f>
        <v>0</v>
      </c>
      <c r="K47" s="44"/>
      <c r="P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4"/>
        <v>0</v>
      </c>
      <c r="G48" s="64"/>
      <c r="H48" s="64"/>
      <c r="I48" s="64"/>
      <c r="J48" s="64"/>
      <c r="K48" s="37"/>
      <c r="P48" s="62"/>
    </row>
    <row r="49" spans="1:16" ht="17.100000000000001" customHeight="1" x14ac:dyDescent="0.25">
      <c r="A49" s="64" t="s">
        <v>70</v>
      </c>
      <c r="B49" s="35">
        <v>2</v>
      </c>
      <c r="C49" s="35">
        <f>SUM(C45:C47)</f>
        <v>1966</v>
      </c>
      <c r="D49" s="35">
        <f>SUM(D45:D47)</f>
        <v>3932</v>
      </c>
      <c r="E49" s="64" t="s">
        <v>124</v>
      </c>
      <c r="F49" s="35">
        <f t="shared" si="4"/>
        <v>2</v>
      </c>
      <c r="G49" s="64"/>
      <c r="H49" s="64"/>
      <c r="I49" s="64"/>
      <c r="J49" s="64"/>
      <c r="K49" s="37"/>
      <c r="P49" s="62"/>
    </row>
    <row r="50" spans="1:16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6" ht="16.5" customHeight="1" thickTop="1" x14ac:dyDescent="0.25">
      <c r="A51" s="74" t="s">
        <v>13</v>
      </c>
      <c r="D51" s="57"/>
      <c r="G51" s="57"/>
      <c r="J51" s="17"/>
    </row>
    <row r="52" spans="1:16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25"/>
      <c r="K52" s="2"/>
    </row>
    <row r="53" spans="1:16" ht="17.100000000000001" customHeight="1" x14ac:dyDescent="0.25">
      <c r="A53" s="26" t="s">
        <v>140</v>
      </c>
      <c r="C53" s="5"/>
      <c r="J53" s="25"/>
      <c r="K53" s="5"/>
    </row>
    <row r="54" spans="1:16" ht="17.100000000000001" customHeight="1" x14ac:dyDescent="0.25">
      <c r="A54" s="24" t="s">
        <v>147</v>
      </c>
      <c r="D54" s="5"/>
      <c r="E54" s="5"/>
      <c r="F54" s="5"/>
      <c r="G54" s="5"/>
      <c r="H54" s="5"/>
      <c r="I54" s="5"/>
      <c r="J54" s="98"/>
      <c r="K54" s="5"/>
    </row>
    <row r="55" spans="1:16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  <c r="K55" s="5"/>
    </row>
    <row r="56" spans="1:16" ht="16.5" customHeight="1" x14ac:dyDescent="0.25">
      <c r="A56" s="24" t="s">
        <v>141</v>
      </c>
      <c r="B56" s="5"/>
      <c r="C56" s="5"/>
      <c r="J56" s="19"/>
    </row>
    <row r="57" spans="1:16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  <c r="K57" s="5"/>
    </row>
    <row r="58" spans="1:16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  <c r="K58" s="5"/>
    </row>
    <row r="59" spans="1:16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  <c r="K59" s="5"/>
    </row>
    <row r="60" spans="1:16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  <c r="K60" s="5"/>
    </row>
    <row r="61" spans="1:16" ht="16.5" customHeight="1" x14ac:dyDescent="0.25">
      <c r="A61" s="24" t="s">
        <v>144</v>
      </c>
      <c r="J61" s="19"/>
    </row>
    <row r="62" spans="1:16" ht="16.5" customHeight="1" x14ac:dyDescent="0.25">
      <c r="A62" s="26" t="s">
        <v>153</v>
      </c>
      <c r="J62" s="19"/>
    </row>
    <row r="63" spans="1:16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96"/>
      <c r="H63" s="96"/>
      <c r="I63" s="96"/>
      <c r="J63" s="97"/>
      <c r="K63" s="57"/>
    </row>
    <row r="64" spans="1:16" ht="17.100000000000001" customHeight="1" thickTop="1" x14ac:dyDescent="0.25">
      <c r="E64" s="2"/>
      <c r="F64" s="2"/>
      <c r="G64" s="2"/>
      <c r="H64" s="2"/>
      <c r="I64" s="2"/>
      <c r="J64" s="2"/>
      <c r="K64" s="2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4">
    <mergeCell ref="B41:I41"/>
    <mergeCell ref="H16:H17"/>
    <mergeCell ref="I16:I17"/>
    <mergeCell ref="J16:J17"/>
    <mergeCell ref="G16:G17"/>
    <mergeCell ref="B40:I40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J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18:G29 G31:G39 G42:G43" xr:uid="{489E9B8F-D4FC-4A42-A902-53DA8A6702D2}">
      <formula1>$P$17:$P$48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DBDF-2EAC-48FC-B952-386A2B47B076}">
  <sheetPr>
    <pageSetUpPr fitToPage="1"/>
  </sheetPr>
  <dimension ref="A1:W71"/>
  <sheetViews>
    <sheetView topLeftCell="A3" zoomScaleNormal="100" workbookViewId="0">
      <selection activeCell="I20" sqref="I20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213</v>
      </c>
      <c r="L7" s="58" t="s">
        <v>302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214</v>
      </c>
      <c r="M9">
        <v>2205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215</v>
      </c>
      <c r="M10">
        <v>2515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212</v>
      </c>
      <c r="G11" s="143"/>
      <c r="H11" s="178"/>
      <c r="I11" s="180" t="s">
        <v>337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387</v>
      </c>
      <c r="H14" s="79" t="s">
        <v>216</v>
      </c>
      <c r="I14" s="177" t="s">
        <v>264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388</v>
      </c>
      <c r="H15" s="79" t="s">
        <v>217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80">
        <v>0</v>
      </c>
      <c r="C18" s="80">
        <v>310</v>
      </c>
      <c r="D18" s="72">
        <f>C18-B18</f>
        <v>310</v>
      </c>
      <c r="E18" s="35">
        <v>6</v>
      </c>
      <c r="F18" s="35">
        <f t="shared" ref="F18" si="0">E18*D18</f>
        <v>1860</v>
      </c>
      <c r="G18" s="89" t="s">
        <v>110</v>
      </c>
      <c r="H18" s="89"/>
      <c r="I18" s="64" t="s">
        <v>105</v>
      </c>
      <c r="J18" s="64">
        <v>144</v>
      </c>
      <c r="K18" s="81">
        <f>B18-2205</f>
        <v>-2205</v>
      </c>
      <c r="L18" s="81">
        <f>C18-2205</f>
        <v>-1895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6</v>
      </c>
      <c r="C19" s="80">
        <v>34</v>
      </c>
      <c r="D19" s="72">
        <f>C19-B19</f>
        <v>28</v>
      </c>
      <c r="E19" s="35">
        <v>0.5</v>
      </c>
      <c r="F19" s="35">
        <f t="shared" ref="F19:F30" si="1">E19*D19</f>
        <v>14</v>
      </c>
      <c r="G19" s="89" t="s">
        <v>150</v>
      </c>
      <c r="H19" s="89" t="s">
        <v>99</v>
      </c>
      <c r="I19" s="64" t="s">
        <v>99</v>
      </c>
      <c r="J19" s="64"/>
      <c r="K19" s="81">
        <f t="shared" ref="K19:L27" si="2">B19-2205</f>
        <v>-2199</v>
      </c>
      <c r="L19" s="81">
        <f t="shared" si="2"/>
        <v>-2171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49</v>
      </c>
      <c r="C20" s="80">
        <v>51</v>
      </c>
      <c r="D20" s="72">
        <f>C20-B20</f>
        <v>2</v>
      </c>
      <c r="E20" s="35">
        <v>0.5</v>
      </c>
      <c r="F20" s="35">
        <f t="shared" si="1"/>
        <v>1</v>
      </c>
      <c r="G20" s="89" t="s">
        <v>155</v>
      </c>
      <c r="H20" s="89">
        <v>1</v>
      </c>
      <c r="I20" s="64" t="s">
        <v>102</v>
      </c>
      <c r="J20" s="64"/>
      <c r="K20" s="81">
        <f t="shared" si="2"/>
        <v>-2156</v>
      </c>
      <c r="L20" s="81">
        <f t="shared" si="2"/>
        <v>-2154</v>
      </c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65</v>
      </c>
      <c r="C21" s="80">
        <v>66</v>
      </c>
      <c r="D21" s="72">
        <v>1</v>
      </c>
      <c r="E21" s="35">
        <v>0.5</v>
      </c>
      <c r="F21" s="35">
        <f t="shared" si="1"/>
        <v>0.5</v>
      </c>
      <c r="G21" s="89" t="s">
        <v>155</v>
      </c>
      <c r="H21" s="89">
        <v>1</v>
      </c>
      <c r="I21" s="64" t="s">
        <v>102</v>
      </c>
      <c r="J21" s="64"/>
      <c r="K21" s="81">
        <f t="shared" si="2"/>
        <v>-2140</v>
      </c>
      <c r="L21" s="81">
        <f t="shared" si="2"/>
        <v>-2139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89</v>
      </c>
      <c r="C22" s="80"/>
      <c r="D22" s="90">
        <v>0.5</v>
      </c>
      <c r="E22" s="35">
        <v>0.5</v>
      </c>
      <c r="F22" s="35">
        <f t="shared" si="1"/>
        <v>0.25</v>
      </c>
      <c r="G22" s="89" t="s">
        <v>130</v>
      </c>
      <c r="H22" s="89">
        <v>2</v>
      </c>
      <c r="I22" s="64" t="s">
        <v>102</v>
      </c>
      <c r="J22" s="64">
        <v>145</v>
      </c>
      <c r="K22" s="81">
        <f t="shared" si="2"/>
        <v>-2116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104</v>
      </c>
      <c r="C23" s="80">
        <v>105</v>
      </c>
      <c r="D23" s="72">
        <v>1</v>
      </c>
      <c r="E23" s="35">
        <v>2.5</v>
      </c>
      <c r="F23" s="35">
        <f t="shared" si="1"/>
        <v>2.5</v>
      </c>
      <c r="G23" s="89" t="s">
        <v>155</v>
      </c>
      <c r="H23" s="89">
        <v>1</v>
      </c>
      <c r="I23" s="64" t="s">
        <v>102</v>
      </c>
      <c r="J23" s="64"/>
      <c r="K23" s="81">
        <f t="shared" si="2"/>
        <v>-2101</v>
      </c>
      <c r="L23" s="81">
        <f t="shared" si="2"/>
        <v>-2100</v>
      </c>
      <c r="O23" s="60" t="s">
        <v>124</v>
      </c>
      <c r="R23" s="58" t="s">
        <v>101</v>
      </c>
    </row>
    <row r="24" spans="1:18" ht="17.100000000000001" customHeight="1" x14ac:dyDescent="0.25">
      <c r="A24" s="78" t="s">
        <v>267</v>
      </c>
      <c r="B24" s="80">
        <v>173</v>
      </c>
      <c r="C24" s="80"/>
      <c r="D24" s="90">
        <v>0.5</v>
      </c>
      <c r="E24" s="35">
        <v>6</v>
      </c>
      <c r="F24" s="35">
        <f t="shared" si="1"/>
        <v>3</v>
      </c>
      <c r="G24" s="89" t="s">
        <v>151</v>
      </c>
      <c r="H24" s="89"/>
      <c r="I24" s="64" t="s">
        <v>105</v>
      </c>
      <c r="J24" s="64"/>
      <c r="K24" s="81">
        <f t="shared" si="2"/>
        <v>-2032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185</v>
      </c>
      <c r="C25" s="80"/>
      <c r="D25" s="90">
        <v>0.5</v>
      </c>
      <c r="E25" s="35">
        <v>0.5</v>
      </c>
      <c r="F25" s="35">
        <f t="shared" si="1"/>
        <v>0.25</v>
      </c>
      <c r="G25" s="89" t="s">
        <v>280</v>
      </c>
      <c r="H25" s="89"/>
      <c r="I25" s="64" t="s">
        <v>99</v>
      </c>
      <c r="J25" s="64"/>
      <c r="K25" s="81">
        <f t="shared" si="2"/>
        <v>-2020</v>
      </c>
      <c r="L25" s="81"/>
      <c r="O25" s="60" t="s">
        <v>130</v>
      </c>
      <c r="R25" s="58" t="s">
        <v>103</v>
      </c>
    </row>
    <row r="26" spans="1:18" ht="17.100000000000001" customHeight="1" x14ac:dyDescent="0.25">
      <c r="A26" s="78" t="s">
        <v>268</v>
      </c>
      <c r="B26" s="80">
        <v>185</v>
      </c>
      <c r="C26" s="80"/>
      <c r="D26" s="90">
        <v>0.5</v>
      </c>
      <c r="E26" s="35">
        <v>0.5</v>
      </c>
      <c r="F26" s="35">
        <f t="shared" si="1"/>
        <v>0.25</v>
      </c>
      <c r="G26" s="89" t="s">
        <v>148</v>
      </c>
      <c r="H26" s="89"/>
      <c r="I26" s="64" t="s">
        <v>102</v>
      </c>
      <c r="J26" s="64"/>
      <c r="K26" s="81">
        <f t="shared" si="2"/>
        <v>-2020</v>
      </c>
      <c r="L26" s="81"/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226</v>
      </c>
      <c r="C27" s="80">
        <v>234</v>
      </c>
      <c r="D27" s="72">
        <f>C27-B27</f>
        <v>8</v>
      </c>
      <c r="E27" s="35">
        <v>0.5</v>
      </c>
      <c r="F27" s="35">
        <f t="shared" si="1"/>
        <v>4</v>
      </c>
      <c r="G27" s="89" t="s">
        <v>150</v>
      </c>
      <c r="H27" s="89" t="s">
        <v>99</v>
      </c>
      <c r="I27" s="64" t="s">
        <v>103</v>
      </c>
      <c r="J27" s="64"/>
      <c r="K27" s="81">
        <f t="shared" si="2"/>
        <v>-1979</v>
      </c>
      <c r="L27" s="81">
        <f t="shared" si="2"/>
        <v>-1971</v>
      </c>
      <c r="O27" s="60" t="s">
        <v>126</v>
      </c>
      <c r="R27" s="58" t="s">
        <v>99</v>
      </c>
    </row>
    <row r="28" spans="1:18" ht="17.100000000000001" customHeight="1" x14ac:dyDescent="0.25">
      <c r="A28" s="78" t="s">
        <v>268</v>
      </c>
      <c r="B28" s="80">
        <v>233</v>
      </c>
      <c r="C28" s="80"/>
      <c r="D28" s="90">
        <v>0.5</v>
      </c>
      <c r="E28" s="35">
        <v>0.5</v>
      </c>
      <c r="F28" s="35">
        <f>E28*D28</f>
        <v>0.25</v>
      </c>
      <c r="G28" s="89" t="s">
        <v>120</v>
      </c>
      <c r="H28" s="89">
        <v>2</v>
      </c>
      <c r="I28" s="64" t="s">
        <v>99</v>
      </c>
      <c r="J28" s="64">
        <v>146</v>
      </c>
      <c r="K28" s="81">
        <f>B29-2205</f>
        <v>-1971</v>
      </c>
      <c r="L28" s="81"/>
      <c r="O28" s="60" t="s">
        <v>107</v>
      </c>
      <c r="R28" s="58" t="s">
        <v>105</v>
      </c>
    </row>
    <row r="29" spans="1:18" ht="17.100000000000001" customHeight="1" x14ac:dyDescent="0.25">
      <c r="A29" s="78" t="s">
        <v>267</v>
      </c>
      <c r="B29" s="80">
        <v>234</v>
      </c>
      <c r="C29" s="80"/>
      <c r="D29" s="90">
        <v>0.5</v>
      </c>
      <c r="E29" s="35">
        <v>6</v>
      </c>
      <c r="F29" s="35">
        <f t="shared" si="1"/>
        <v>3</v>
      </c>
      <c r="G29" s="89" t="s">
        <v>151</v>
      </c>
      <c r="H29" s="89"/>
      <c r="I29" s="64" t="s">
        <v>105</v>
      </c>
      <c r="J29" s="64"/>
      <c r="K29" s="81">
        <f>B28-2205</f>
        <v>-1972</v>
      </c>
      <c r="L29" s="81"/>
      <c r="O29" s="60" t="s">
        <v>127</v>
      </c>
    </row>
    <row r="30" spans="1:18" ht="17.100000000000001" customHeight="1" x14ac:dyDescent="0.25">
      <c r="A30" s="78" t="s">
        <v>268</v>
      </c>
      <c r="B30" s="80">
        <v>256</v>
      </c>
      <c r="C30" s="80"/>
      <c r="D30" s="90">
        <v>0.5</v>
      </c>
      <c r="E30" s="35">
        <v>0.5</v>
      </c>
      <c r="F30" s="35">
        <f t="shared" si="1"/>
        <v>0.25</v>
      </c>
      <c r="G30" s="89" t="s">
        <v>148</v>
      </c>
      <c r="H30" s="89"/>
      <c r="I30" s="64" t="s">
        <v>99</v>
      </c>
      <c r="J30" s="64"/>
      <c r="K30" s="81">
        <f>B30-2205</f>
        <v>-1949</v>
      </c>
      <c r="L30" s="81"/>
      <c r="O30" s="60" t="s">
        <v>156</v>
      </c>
    </row>
    <row r="31" spans="1:18" ht="17.100000000000001" customHeight="1" x14ac:dyDescent="0.25">
      <c r="A31" s="78"/>
      <c r="B31" s="188" t="s">
        <v>303</v>
      </c>
      <c r="C31" s="189"/>
      <c r="D31" s="189"/>
      <c r="E31" s="189"/>
      <c r="F31" s="189"/>
      <c r="G31" s="189"/>
      <c r="H31" s="189"/>
      <c r="I31" s="190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3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310</v>
      </c>
      <c r="D45" s="35">
        <f t="shared" ref="D45" si="4">SUM(C45*B45)</f>
        <v>930</v>
      </c>
      <c r="E45" s="64" t="s">
        <v>120</v>
      </c>
      <c r="F45" s="35">
        <f t="shared" si="3"/>
        <v>0.25</v>
      </c>
      <c r="G45" s="64" t="s">
        <v>130</v>
      </c>
      <c r="H45" s="35">
        <f>SUMIF($G$18:$G$43,G45,$F$18:$F$43)</f>
        <v>0.25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310</v>
      </c>
      <c r="D46" s="35">
        <f t="shared" ref="D46" si="5">SUM(C46*B46)</f>
        <v>930</v>
      </c>
      <c r="E46" s="64" t="s">
        <v>121</v>
      </c>
      <c r="F46" s="35">
        <f t="shared" si="3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3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3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620</v>
      </c>
      <c r="D49" s="35">
        <f>SUM(D45:D47)</f>
        <v>1860</v>
      </c>
      <c r="E49" s="64" t="s">
        <v>124</v>
      </c>
      <c r="F49" s="35">
        <f t="shared" si="3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31:I31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G32:G43 G18:G30" xr:uid="{2775E9DE-2C5C-41A7-AF85-A9A16FD5444D}">
      <formula1>$O$17:$O$48</formula1>
    </dataValidation>
    <dataValidation type="list" allowBlank="1" showInputMessage="1" showErrorMessage="1" sqref="H32:H43 H18:H30" xr:uid="{A0FF681E-88B2-40CB-975C-A9C51D154A32}">
      <formula1>$R$17:$R$23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C0F2-3EBD-4DDE-A4C4-F43A5E6B74F6}">
  <sheetPr>
    <pageSetUpPr fitToPage="1"/>
  </sheetPr>
  <dimension ref="A1:W71"/>
  <sheetViews>
    <sheetView topLeftCell="A3" zoomScaleNormal="100" workbookViewId="0">
      <selection activeCell="N28" sqref="N28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213</v>
      </c>
      <c r="L7" s="58" t="s">
        <v>304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  <c r="K8" t="s">
        <v>219</v>
      </c>
      <c r="M8">
        <v>1009</v>
      </c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220</v>
      </c>
      <c r="M9">
        <v>1478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218</v>
      </c>
      <c r="G11" s="143"/>
      <c r="H11" s="178"/>
      <c r="I11" s="180" t="s">
        <v>338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221</v>
      </c>
      <c r="H14" s="79" t="s">
        <v>389</v>
      </c>
      <c r="I14" s="177" t="s">
        <v>298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222</v>
      </c>
      <c r="H15" s="79" t="s">
        <v>390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80">
        <v>0</v>
      </c>
      <c r="C18" s="80">
        <v>469</v>
      </c>
      <c r="D18" s="72">
        <f>C18-B18</f>
        <v>469</v>
      </c>
      <c r="E18" s="35">
        <v>6</v>
      </c>
      <c r="F18" s="35">
        <f t="shared" ref="F18:F43" si="0">E18*D18</f>
        <v>2814</v>
      </c>
      <c r="G18" s="89" t="s">
        <v>110</v>
      </c>
      <c r="H18" s="89"/>
      <c r="I18" s="64" t="s">
        <v>105</v>
      </c>
      <c r="J18" s="64">
        <v>147</v>
      </c>
      <c r="K18" s="81">
        <f>B18-1009</f>
        <v>-1009</v>
      </c>
      <c r="L18" s="81">
        <f>C18-1009</f>
        <v>-540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6</v>
      </c>
      <c r="C19" s="80"/>
      <c r="D19" s="90">
        <v>0.5</v>
      </c>
      <c r="E19" s="35">
        <v>0.5</v>
      </c>
      <c r="F19" s="35">
        <f>E19*D19</f>
        <v>0.25</v>
      </c>
      <c r="G19" s="89" t="s">
        <v>125</v>
      </c>
      <c r="H19" s="89">
        <v>1</v>
      </c>
      <c r="I19" s="64" t="s">
        <v>99</v>
      </c>
      <c r="J19" s="64">
        <v>148</v>
      </c>
      <c r="K19" s="81">
        <f t="shared" ref="K19:L43" si="1">B19-1009</f>
        <v>-1003</v>
      </c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6</v>
      </c>
      <c r="C20" s="80"/>
      <c r="D20" s="90">
        <v>0.5</v>
      </c>
      <c r="E20" s="35">
        <v>2</v>
      </c>
      <c r="F20" s="35">
        <f>E20*D20</f>
        <v>1</v>
      </c>
      <c r="G20" s="89" t="s">
        <v>155</v>
      </c>
      <c r="H20" s="89">
        <v>1</v>
      </c>
      <c r="I20" s="64" t="s">
        <v>99</v>
      </c>
      <c r="J20" s="64"/>
      <c r="K20" s="81">
        <f t="shared" si="1"/>
        <v>-1003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10</v>
      </c>
      <c r="C21" s="80">
        <v>15</v>
      </c>
      <c r="D21" s="72">
        <f>C21-B21</f>
        <v>5</v>
      </c>
      <c r="E21" s="35">
        <v>3</v>
      </c>
      <c r="F21" s="35">
        <f>E21*D21</f>
        <v>15</v>
      </c>
      <c r="G21" s="89" t="s">
        <v>122</v>
      </c>
      <c r="H21" s="89">
        <v>2</v>
      </c>
      <c r="I21" s="64" t="s">
        <v>105</v>
      </c>
      <c r="J21" s="64">
        <v>149</v>
      </c>
      <c r="K21" s="81">
        <f t="shared" si="1"/>
        <v>-999</v>
      </c>
      <c r="L21" s="81">
        <f t="shared" si="1"/>
        <v>-994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22</v>
      </c>
      <c r="C22" s="80">
        <v>23</v>
      </c>
      <c r="D22" s="72">
        <v>1</v>
      </c>
      <c r="E22" s="35">
        <v>0.5</v>
      </c>
      <c r="F22" s="35">
        <f>E22*D22</f>
        <v>0.5</v>
      </c>
      <c r="G22" s="89" t="s">
        <v>148</v>
      </c>
      <c r="H22" s="89"/>
      <c r="I22" s="64" t="s">
        <v>102</v>
      </c>
      <c r="J22" s="64"/>
      <c r="K22" s="81">
        <f t="shared" si="1"/>
        <v>-987</v>
      </c>
      <c r="L22" s="81">
        <f t="shared" si="1"/>
        <v>-986</v>
      </c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24</v>
      </c>
      <c r="C23" s="80">
        <v>25</v>
      </c>
      <c r="D23" s="72">
        <v>1</v>
      </c>
      <c r="E23" s="35">
        <v>0.5</v>
      </c>
      <c r="F23" s="35">
        <f>E23*D23</f>
        <v>0.5</v>
      </c>
      <c r="G23" s="89" t="s">
        <v>155</v>
      </c>
      <c r="H23" s="89">
        <v>1</v>
      </c>
      <c r="I23" s="64" t="s">
        <v>102</v>
      </c>
      <c r="J23" s="64"/>
      <c r="K23" s="81">
        <f t="shared" si="1"/>
        <v>-985</v>
      </c>
      <c r="L23" s="81">
        <f t="shared" si="1"/>
        <v>-984</v>
      </c>
      <c r="O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32</v>
      </c>
      <c r="C24" s="80">
        <v>45</v>
      </c>
      <c r="D24" s="72">
        <f>C24-B24</f>
        <v>13</v>
      </c>
      <c r="E24" s="35">
        <v>0.5</v>
      </c>
      <c r="F24" s="35">
        <f t="shared" si="0"/>
        <v>6.5</v>
      </c>
      <c r="G24" s="89" t="s">
        <v>155</v>
      </c>
      <c r="H24" s="89">
        <v>1</v>
      </c>
      <c r="I24" s="64" t="s">
        <v>103</v>
      </c>
      <c r="J24" s="64"/>
      <c r="K24" s="81">
        <f t="shared" si="1"/>
        <v>-977</v>
      </c>
      <c r="L24" s="81">
        <f t="shared" si="1"/>
        <v>-964</v>
      </c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47</v>
      </c>
      <c r="C25" s="80">
        <v>51</v>
      </c>
      <c r="D25" s="72">
        <f>C25-B25</f>
        <v>4</v>
      </c>
      <c r="E25" s="35">
        <v>2.5</v>
      </c>
      <c r="F25" s="35">
        <f t="shared" si="0"/>
        <v>10</v>
      </c>
      <c r="G25" s="89" t="s">
        <v>155</v>
      </c>
      <c r="H25" s="89">
        <v>1</v>
      </c>
      <c r="I25" s="64" t="s">
        <v>99</v>
      </c>
      <c r="J25" s="64"/>
      <c r="K25" s="81">
        <f t="shared" si="1"/>
        <v>-962</v>
      </c>
      <c r="L25" s="81">
        <f t="shared" si="1"/>
        <v>-958</v>
      </c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54</v>
      </c>
      <c r="C26" s="80">
        <v>56</v>
      </c>
      <c r="D26" s="72">
        <v>2</v>
      </c>
      <c r="E26" s="35">
        <v>2</v>
      </c>
      <c r="F26" s="35">
        <f t="shared" si="0"/>
        <v>4</v>
      </c>
      <c r="G26" s="89" t="s">
        <v>155</v>
      </c>
      <c r="H26" s="89">
        <v>1</v>
      </c>
      <c r="I26" s="64" t="s">
        <v>102</v>
      </c>
      <c r="J26" s="64"/>
      <c r="K26" s="81">
        <f t="shared" si="1"/>
        <v>-955</v>
      </c>
      <c r="L26" s="81">
        <f t="shared" si="1"/>
        <v>-953</v>
      </c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106</v>
      </c>
      <c r="C27" s="80">
        <v>207</v>
      </c>
      <c r="D27" s="72">
        <f>C27-B27</f>
        <v>101</v>
      </c>
      <c r="E27" s="35">
        <v>1</v>
      </c>
      <c r="F27" s="35">
        <f t="shared" si="0"/>
        <v>101</v>
      </c>
      <c r="G27" s="89" t="s">
        <v>155</v>
      </c>
      <c r="H27" s="89">
        <v>1</v>
      </c>
      <c r="I27" s="64" t="s">
        <v>102</v>
      </c>
      <c r="J27" s="64"/>
      <c r="K27" s="81">
        <f t="shared" si="1"/>
        <v>-903</v>
      </c>
      <c r="L27" s="81">
        <f t="shared" si="1"/>
        <v>-802</v>
      </c>
      <c r="O27" s="60" t="s">
        <v>126</v>
      </c>
      <c r="R27" s="58" t="s">
        <v>99</v>
      </c>
    </row>
    <row r="28" spans="1:18" ht="17.100000000000001" customHeight="1" x14ac:dyDescent="0.25">
      <c r="A28" s="78" t="s">
        <v>21</v>
      </c>
      <c r="B28" s="80">
        <v>114</v>
      </c>
      <c r="C28" s="80"/>
      <c r="D28" s="90">
        <v>0.5</v>
      </c>
      <c r="E28" s="35">
        <v>0.5</v>
      </c>
      <c r="F28" s="35">
        <f t="shared" si="0"/>
        <v>0.25</v>
      </c>
      <c r="G28" s="89" t="s">
        <v>130</v>
      </c>
      <c r="H28" s="89">
        <v>2</v>
      </c>
      <c r="I28" s="64" t="s">
        <v>99</v>
      </c>
      <c r="J28" s="64">
        <v>150</v>
      </c>
      <c r="K28" s="81">
        <f t="shared" si="1"/>
        <v>-895</v>
      </c>
      <c r="L28" s="81"/>
      <c r="O28" s="60" t="s">
        <v>107</v>
      </c>
      <c r="R28" s="58" t="s">
        <v>105</v>
      </c>
    </row>
    <row r="29" spans="1:18" ht="17.100000000000001" customHeight="1" x14ac:dyDescent="0.25">
      <c r="A29" s="78" t="s">
        <v>21</v>
      </c>
      <c r="B29" s="80">
        <v>144</v>
      </c>
      <c r="C29" s="80">
        <v>162</v>
      </c>
      <c r="D29" s="72">
        <f>C29-B29</f>
        <v>18</v>
      </c>
      <c r="E29" s="35">
        <v>0.5</v>
      </c>
      <c r="F29" s="35">
        <f t="shared" si="0"/>
        <v>9</v>
      </c>
      <c r="G29" s="89" t="s">
        <v>119</v>
      </c>
      <c r="H29" s="89">
        <v>1</v>
      </c>
      <c r="I29" s="64" t="s">
        <v>99</v>
      </c>
      <c r="J29" s="64">
        <v>151</v>
      </c>
      <c r="K29" s="81">
        <f t="shared" si="1"/>
        <v>-865</v>
      </c>
      <c r="L29" s="81">
        <f t="shared" si="1"/>
        <v>-847</v>
      </c>
      <c r="O29" s="60" t="s">
        <v>127</v>
      </c>
    </row>
    <row r="30" spans="1:18" ht="17.100000000000001" customHeight="1" x14ac:dyDescent="0.25">
      <c r="A30" s="78" t="s">
        <v>268</v>
      </c>
      <c r="B30" s="80">
        <v>163</v>
      </c>
      <c r="C30" s="80"/>
      <c r="D30" s="90">
        <v>0.5</v>
      </c>
      <c r="E30" s="35">
        <v>0.5</v>
      </c>
      <c r="F30" s="35">
        <f>E30*D30</f>
        <v>0.25</v>
      </c>
      <c r="G30" s="89" t="s">
        <v>148</v>
      </c>
      <c r="H30" s="89"/>
      <c r="I30" s="64" t="s">
        <v>102</v>
      </c>
      <c r="J30" s="64"/>
      <c r="K30" s="81">
        <f t="shared" si="1"/>
        <v>-846</v>
      </c>
      <c r="L30" s="81"/>
      <c r="O30" s="60" t="s">
        <v>156</v>
      </c>
    </row>
    <row r="31" spans="1:18" ht="17.100000000000001" customHeight="1" x14ac:dyDescent="0.25">
      <c r="A31" s="78" t="s">
        <v>268</v>
      </c>
      <c r="B31" s="80">
        <v>183</v>
      </c>
      <c r="C31" s="80"/>
      <c r="D31" s="90">
        <v>0.5</v>
      </c>
      <c r="E31" s="35">
        <v>1</v>
      </c>
      <c r="F31" s="35">
        <f>E31*D31</f>
        <v>0.5</v>
      </c>
      <c r="G31" s="89" t="s">
        <v>269</v>
      </c>
      <c r="H31" s="89"/>
      <c r="I31" s="64" t="s">
        <v>102</v>
      </c>
      <c r="J31" s="64"/>
      <c r="K31" s="81">
        <f t="shared" si="1"/>
        <v>-826</v>
      </c>
      <c r="L31" s="81"/>
      <c r="O31" s="61" t="s">
        <v>128</v>
      </c>
    </row>
    <row r="32" spans="1:18" ht="17.100000000000001" customHeight="1" x14ac:dyDescent="0.25">
      <c r="A32" s="78" t="s">
        <v>21</v>
      </c>
      <c r="B32" s="80">
        <v>207</v>
      </c>
      <c r="C32" s="80">
        <v>214</v>
      </c>
      <c r="D32" s="72">
        <f>C32-B32</f>
        <v>7</v>
      </c>
      <c r="E32" s="35">
        <v>2</v>
      </c>
      <c r="F32" s="35">
        <f>E32*D32</f>
        <v>14</v>
      </c>
      <c r="G32" s="89" t="s">
        <v>155</v>
      </c>
      <c r="H32" s="89">
        <v>1</v>
      </c>
      <c r="I32" s="64" t="s">
        <v>102</v>
      </c>
      <c r="J32" s="64"/>
      <c r="K32" s="81">
        <f t="shared" si="1"/>
        <v>-802</v>
      </c>
      <c r="L32" s="81">
        <f t="shared" si="1"/>
        <v>-795</v>
      </c>
      <c r="O32" s="63" t="s">
        <v>155</v>
      </c>
    </row>
    <row r="33" spans="1:21" ht="17.100000000000001" customHeight="1" x14ac:dyDescent="0.25">
      <c r="A33" s="78" t="s">
        <v>21</v>
      </c>
      <c r="B33" s="80">
        <v>242</v>
      </c>
      <c r="C33" s="80"/>
      <c r="D33" s="90">
        <v>0.5</v>
      </c>
      <c r="E33" s="35">
        <v>2</v>
      </c>
      <c r="F33" s="35">
        <f>E33*D33</f>
        <v>1</v>
      </c>
      <c r="G33" s="89" t="s">
        <v>269</v>
      </c>
      <c r="H33" s="89"/>
      <c r="I33" s="64" t="s">
        <v>102</v>
      </c>
      <c r="J33" s="64"/>
      <c r="K33" s="81">
        <f t="shared" si="1"/>
        <v>-767</v>
      </c>
      <c r="L33" s="81"/>
      <c r="O33" s="62" t="s">
        <v>150</v>
      </c>
    </row>
    <row r="34" spans="1:21" ht="17.100000000000001" customHeight="1" x14ac:dyDescent="0.25">
      <c r="A34" s="78" t="s">
        <v>21</v>
      </c>
      <c r="B34" s="80">
        <v>242</v>
      </c>
      <c r="C34" s="80">
        <v>248</v>
      </c>
      <c r="D34" s="72">
        <f>C34-B34</f>
        <v>6</v>
      </c>
      <c r="E34" s="35">
        <v>0.5</v>
      </c>
      <c r="F34" s="35">
        <f>E34*D34</f>
        <v>3</v>
      </c>
      <c r="G34" s="89" t="s">
        <v>269</v>
      </c>
      <c r="H34" s="89"/>
      <c r="I34" s="64" t="s">
        <v>99</v>
      </c>
      <c r="J34" s="64"/>
      <c r="K34" s="81">
        <f t="shared" si="1"/>
        <v>-767</v>
      </c>
      <c r="L34" s="81">
        <f t="shared" si="1"/>
        <v>-761</v>
      </c>
      <c r="O34" s="62" t="s">
        <v>107</v>
      </c>
    </row>
    <row r="35" spans="1:21" ht="17.100000000000001" customHeight="1" x14ac:dyDescent="0.25">
      <c r="A35" s="78" t="s">
        <v>21</v>
      </c>
      <c r="B35" s="80">
        <v>248</v>
      </c>
      <c r="C35" s="80"/>
      <c r="D35" s="90">
        <v>0.5</v>
      </c>
      <c r="E35" s="35">
        <v>2</v>
      </c>
      <c r="F35" s="35">
        <f t="shared" si="0"/>
        <v>1</v>
      </c>
      <c r="G35" s="89" t="s">
        <v>269</v>
      </c>
      <c r="H35" s="89"/>
      <c r="I35" s="64" t="s">
        <v>102</v>
      </c>
      <c r="J35" s="64"/>
      <c r="K35" s="81">
        <f t="shared" si="1"/>
        <v>-761</v>
      </c>
      <c r="L35" s="81"/>
      <c r="O35" s="62" t="s">
        <v>112</v>
      </c>
    </row>
    <row r="36" spans="1:21" ht="17.100000000000001" customHeight="1" x14ac:dyDescent="0.25">
      <c r="A36" s="78" t="s">
        <v>21</v>
      </c>
      <c r="B36" s="80">
        <v>250</v>
      </c>
      <c r="C36" s="80">
        <v>280</v>
      </c>
      <c r="D36" s="72">
        <f>C36-B36</f>
        <v>30</v>
      </c>
      <c r="E36" s="35">
        <v>0.5</v>
      </c>
      <c r="F36" s="35">
        <f>E36*D36</f>
        <v>15</v>
      </c>
      <c r="G36" s="89" t="s">
        <v>120</v>
      </c>
      <c r="H36" s="89">
        <v>2</v>
      </c>
      <c r="I36" s="64" t="s">
        <v>102</v>
      </c>
      <c r="J36" s="64">
        <v>152</v>
      </c>
      <c r="K36" s="81">
        <f t="shared" si="1"/>
        <v>-759</v>
      </c>
      <c r="L36" s="81">
        <f t="shared" si="1"/>
        <v>-729</v>
      </c>
      <c r="O36" s="62" t="s">
        <v>148</v>
      </c>
    </row>
    <row r="37" spans="1:21" ht="17.100000000000001" customHeight="1" x14ac:dyDescent="0.25">
      <c r="A37" s="78" t="s">
        <v>21</v>
      </c>
      <c r="B37" s="80">
        <v>281</v>
      </c>
      <c r="C37" s="80">
        <v>283</v>
      </c>
      <c r="D37" s="72">
        <v>2</v>
      </c>
      <c r="E37" s="35">
        <v>1</v>
      </c>
      <c r="F37" s="35">
        <f t="shared" si="0"/>
        <v>2</v>
      </c>
      <c r="G37" s="89" t="s">
        <v>155</v>
      </c>
      <c r="H37" s="89">
        <v>1</v>
      </c>
      <c r="I37" s="64" t="s">
        <v>102</v>
      </c>
      <c r="J37" s="64"/>
      <c r="K37" s="81">
        <f t="shared" si="1"/>
        <v>-728</v>
      </c>
      <c r="L37" s="81">
        <f t="shared" si="1"/>
        <v>-726</v>
      </c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 t="s">
        <v>267</v>
      </c>
      <c r="B38" s="80">
        <v>281</v>
      </c>
      <c r="C38" s="80"/>
      <c r="D38" s="90">
        <v>0.5</v>
      </c>
      <c r="E38" s="35">
        <v>6</v>
      </c>
      <c r="F38" s="35">
        <f t="shared" si="0"/>
        <v>3</v>
      </c>
      <c r="G38" s="89" t="s">
        <v>155</v>
      </c>
      <c r="H38" s="89">
        <v>1</v>
      </c>
      <c r="I38" s="64" t="s">
        <v>105</v>
      </c>
      <c r="J38" s="64"/>
      <c r="K38" s="81">
        <f t="shared" si="1"/>
        <v>-728</v>
      </c>
      <c r="L38" s="81"/>
      <c r="O38" s="62" t="s">
        <v>151</v>
      </c>
    </row>
    <row r="39" spans="1:21" ht="17.100000000000001" customHeight="1" x14ac:dyDescent="0.25">
      <c r="A39" s="78" t="s">
        <v>21</v>
      </c>
      <c r="B39" s="80">
        <v>296</v>
      </c>
      <c r="C39" s="80"/>
      <c r="D39" s="90">
        <v>0.5</v>
      </c>
      <c r="E39" s="35">
        <v>2</v>
      </c>
      <c r="F39" s="35">
        <f t="shared" si="0"/>
        <v>1</v>
      </c>
      <c r="G39" s="89" t="s">
        <v>155</v>
      </c>
      <c r="H39" s="89">
        <v>1</v>
      </c>
      <c r="I39" s="64" t="s">
        <v>102</v>
      </c>
      <c r="J39" s="64"/>
      <c r="K39" s="81">
        <f t="shared" si="1"/>
        <v>-713</v>
      </c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 t="s">
        <v>21</v>
      </c>
      <c r="B40" s="80">
        <v>307</v>
      </c>
      <c r="C40" s="80">
        <v>322</v>
      </c>
      <c r="D40" s="72">
        <f>C40-B40</f>
        <v>15</v>
      </c>
      <c r="E40" s="35">
        <v>1.5</v>
      </c>
      <c r="F40" s="35">
        <f t="shared" si="0"/>
        <v>22.5</v>
      </c>
      <c r="G40" s="89" t="s">
        <v>122</v>
      </c>
      <c r="H40" s="89">
        <v>2</v>
      </c>
      <c r="I40" s="64" t="s">
        <v>102</v>
      </c>
      <c r="J40" s="64">
        <v>153</v>
      </c>
      <c r="K40" s="81">
        <f t="shared" si="1"/>
        <v>-702</v>
      </c>
      <c r="L40" s="81">
        <f t="shared" si="1"/>
        <v>-687</v>
      </c>
      <c r="O40" s="62" t="s">
        <v>109</v>
      </c>
    </row>
    <row r="41" spans="1:21" ht="17.100000000000001" customHeight="1" x14ac:dyDescent="0.25">
      <c r="A41" s="78" t="s">
        <v>267</v>
      </c>
      <c r="B41" s="80">
        <v>314</v>
      </c>
      <c r="C41" s="80"/>
      <c r="D41" s="90">
        <v>0.5</v>
      </c>
      <c r="E41" s="35">
        <v>6</v>
      </c>
      <c r="F41" s="35">
        <f t="shared" si="0"/>
        <v>3</v>
      </c>
      <c r="G41" s="89" t="s">
        <v>151</v>
      </c>
      <c r="H41" s="89"/>
      <c r="I41" s="64" t="s">
        <v>105</v>
      </c>
      <c r="J41" s="64"/>
      <c r="K41" s="81">
        <f t="shared" si="1"/>
        <v>-695</v>
      </c>
      <c r="L41" s="81"/>
      <c r="O41" s="62" t="s">
        <v>152</v>
      </c>
      <c r="P41" s="5"/>
      <c r="Q41" s="5"/>
    </row>
    <row r="42" spans="1:21" ht="17.100000000000001" customHeight="1" x14ac:dyDescent="0.25">
      <c r="A42" s="78" t="s">
        <v>21</v>
      </c>
      <c r="B42" s="80">
        <v>329</v>
      </c>
      <c r="C42" s="80"/>
      <c r="D42" s="90">
        <v>0.5</v>
      </c>
      <c r="E42" s="35">
        <v>1.5</v>
      </c>
      <c r="F42" s="35">
        <f t="shared" si="0"/>
        <v>0.75</v>
      </c>
      <c r="G42" s="89" t="s">
        <v>155</v>
      </c>
      <c r="H42" s="89">
        <v>1</v>
      </c>
      <c r="I42" s="64" t="s">
        <v>102</v>
      </c>
      <c r="J42" s="64"/>
      <c r="K42" s="81">
        <f t="shared" si="1"/>
        <v>-680</v>
      </c>
      <c r="L42" s="81"/>
      <c r="O42" s="62" t="s">
        <v>106</v>
      </c>
    </row>
    <row r="43" spans="1:21" ht="16.95" customHeight="1" thickBot="1" x14ac:dyDescent="0.3">
      <c r="A43" s="68" t="s">
        <v>21</v>
      </c>
      <c r="B43" s="84">
        <v>341</v>
      </c>
      <c r="C43" s="84">
        <v>349</v>
      </c>
      <c r="D43" s="85">
        <f>C43-B43</f>
        <v>8</v>
      </c>
      <c r="E43" s="55">
        <v>0.5</v>
      </c>
      <c r="F43" s="55">
        <f t="shared" si="0"/>
        <v>4</v>
      </c>
      <c r="G43" s="102" t="s">
        <v>120</v>
      </c>
      <c r="H43" s="106">
        <v>2</v>
      </c>
      <c r="I43" s="69" t="s">
        <v>99</v>
      </c>
      <c r="J43" s="69">
        <v>154</v>
      </c>
      <c r="K43" s="81">
        <f t="shared" si="1"/>
        <v>-668</v>
      </c>
      <c r="L43" s="81">
        <f t="shared" si="1"/>
        <v>-660</v>
      </c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2">SUMIF($G$18:$G$43,E44,$F$18:$F$43)</f>
        <v>9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341</v>
      </c>
      <c r="D45" s="35">
        <f t="shared" ref="D45" si="3">SUM(C45*B45)</f>
        <v>1023</v>
      </c>
      <c r="E45" s="64" t="s">
        <v>120</v>
      </c>
      <c r="F45" s="35">
        <f t="shared" si="2"/>
        <v>19</v>
      </c>
      <c r="G45" s="64" t="s">
        <v>130</v>
      </c>
      <c r="H45" s="35">
        <f>SUMIF($G$18:$G$43,G45,$F$18:$F$43)</f>
        <v>0.25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341</v>
      </c>
      <c r="D46" s="35">
        <f t="shared" ref="D46" si="4">SUM(C46*B46)</f>
        <v>1023</v>
      </c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0.25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2"/>
        <v>37.5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682</v>
      </c>
      <c r="D49" s="35">
        <f>SUM(D45:D47)</f>
        <v>2046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4">
    <mergeCell ref="H16:H17"/>
    <mergeCell ref="I16:I17"/>
    <mergeCell ref="J16:J17"/>
    <mergeCell ref="G63:J63"/>
    <mergeCell ref="G64:J64"/>
    <mergeCell ref="G16:G17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18:G43" xr:uid="{7832909A-E256-42FB-861E-A5873DDBB79A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3542-0F79-4DBC-98BE-0BC5D8C1A491}">
  <sheetPr>
    <pageSetUpPr fitToPage="1"/>
  </sheetPr>
  <dimension ref="A1:W71"/>
  <sheetViews>
    <sheetView topLeftCell="A8" zoomScaleNormal="100" workbookViewId="0">
      <selection activeCell="P14" sqref="P14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213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  <c r="K8" t="s">
        <v>219</v>
      </c>
      <c r="M8">
        <v>1009</v>
      </c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220</v>
      </c>
      <c r="M9">
        <v>1478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218</v>
      </c>
      <c r="G11" s="143"/>
      <c r="H11" s="178"/>
      <c r="I11" s="180" t="s">
        <v>339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221</v>
      </c>
      <c r="H14" s="79" t="s">
        <v>389</v>
      </c>
      <c r="I14" s="177" t="s">
        <v>298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222</v>
      </c>
      <c r="H15" s="79" t="s">
        <v>390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378</v>
      </c>
      <c r="C18" s="80">
        <v>380</v>
      </c>
      <c r="D18" s="72">
        <f>C18-B18</f>
        <v>2</v>
      </c>
      <c r="E18" s="35">
        <v>1</v>
      </c>
      <c r="F18" s="35">
        <f t="shared" ref="F18" si="0">E18*D18</f>
        <v>2</v>
      </c>
      <c r="G18" s="89" t="s">
        <v>155</v>
      </c>
      <c r="H18" s="89">
        <v>1</v>
      </c>
      <c r="I18" s="64" t="s">
        <v>102</v>
      </c>
      <c r="J18" s="64"/>
      <c r="K18" s="81">
        <f>B18-1009</f>
        <v>-631</v>
      </c>
      <c r="L18" s="81">
        <f>C18-1009</f>
        <v>-629</v>
      </c>
      <c r="O18" s="60" t="s">
        <v>119</v>
      </c>
      <c r="R18" s="59">
        <v>1</v>
      </c>
    </row>
    <row r="19" spans="1:18" ht="17.100000000000001" customHeight="1" x14ac:dyDescent="0.25">
      <c r="A19" s="78" t="s">
        <v>267</v>
      </c>
      <c r="B19" s="80">
        <v>380</v>
      </c>
      <c r="C19" s="80">
        <v>383</v>
      </c>
      <c r="D19" s="72">
        <f>C19-B19</f>
        <v>3</v>
      </c>
      <c r="E19" s="35">
        <v>0.5</v>
      </c>
      <c r="F19" s="35">
        <f t="shared" ref="F19:F24" si="1">E19*D19</f>
        <v>1.5</v>
      </c>
      <c r="G19" s="89" t="s">
        <v>155</v>
      </c>
      <c r="H19" s="89">
        <v>1</v>
      </c>
      <c r="I19" s="64" t="s">
        <v>285</v>
      </c>
      <c r="J19" s="64"/>
      <c r="K19" s="81">
        <f t="shared" ref="K19:L24" si="2">B19-1009</f>
        <v>-629</v>
      </c>
      <c r="L19" s="81">
        <f t="shared" si="2"/>
        <v>-626</v>
      </c>
      <c r="O19" s="60" t="s">
        <v>120</v>
      </c>
      <c r="R19" s="59">
        <v>2</v>
      </c>
    </row>
    <row r="20" spans="1:18" ht="17.100000000000001" customHeight="1" x14ac:dyDescent="0.25">
      <c r="A20" s="78" t="s">
        <v>268</v>
      </c>
      <c r="B20" s="80">
        <v>404</v>
      </c>
      <c r="C20" s="80">
        <v>406</v>
      </c>
      <c r="D20" s="72">
        <f>C20-B20</f>
        <v>2</v>
      </c>
      <c r="E20" s="35">
        <v>1.5</v>
      </c>
      <c r="F20" s="35">
        <f t="shared" si="1"/>
        <v>3</v>
      </c>
      <c r="G20" s="89" t="s">
        <v>156</v>
      </c>
      <c r="H20" s="89" t="s">
        <v>278</v>
      </c>
      <c r="I20" s="64" t="s">
        <v>102</v>
      </c>
      <c r="J20" s="64">
        <v>155</v>
      </c>
      <c r="K20" s="81">
        <f t="shared" si="2"/>
        <v>-605</v>
      </c>
      <c r="L20" s="81">
        <f t="shared" si="2"/>
        <v>-603</v>
      </c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419</v>
      </c>
      <c r="C21" s="80">
        <v>420</v>
      </c>
      <c r="D21" s="72">
        <v>1</v>
      </c>
      <c r="E21" s="35">
        <v>0.5</v>
      </c>
      <c r="F21" s="35">
        <f t="shared" si="1"/>
        <v>0.5</v>
      </c>
      <c r="G21" s="89" t="s">
        <v>119</v>
      </c>
      <c r="H21" s="89">
        <v>1</v>
      </c>
      <c r="I21" s="64" t="s">
        <v>99</v>
      </c>
      <c r="J21" s="64">
        <v>156</v>
      </c>
      <c r="K21" s="81">
        <f t="shared" si="2"/>
        <v>-590</v>
      </c>
      <c r="L21" s="81">
        <f t="shared" si="2"/>
        <v>-589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426</v>
      </c>
      <c r="C22" s="80">
        <v>435</v>
      </c>
      <c r="D22" s="72">
        <f>C22-B22</f>
        <v>9</v>
      </c>
      <c r="E22" s="35">
        <v>1</v>
      </c>
      <c r="F22" s="35">
        <f t="shared" si="1"/>
        <v>9</v>
      </c>
      <c r="G22" s="89" t="s">
        <v>156</v>
      </c>
      <c r="H22" s="89">
        <v>2</v>
      </c>
      <c r="I22" s="64" t="s">
        <v>102</v>
      </c>
      <c r="J22" s="64">
        <v>157</v>
      </c>
      <c r="K22" s="81">
        <f t="shared" si="2"/>
        <v>-583</v>
      </c>
      <c r="L22" s="81">
        <f t="shared" si="2"/>
        <v>-574</v>
      </c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427</v>
      </c>
      <c r="C23" s="80">
        <v>428</v>
      </c>
      <c r="D23" s="72">
        <v>1</v>
      </c>
      <c r="E23" s="35">
        <v>0.5</v>
      </c>
      <c r="F23" s="35">
        <f t="shared" si="1"/>
        <v>0.5</v>
      </c>
      <c r="G23" s="89" t="s">
        <v>120</v>
      </c>
      <c r="H23" s="89">
        <v>2</v>
      </c>
      <c r="I23" s="64" t="s">
        <v>99</v>
      </c>
      <c r="J23" s="64">
        <v>158</v>
      </c>
      <c r="K23" s="81">
        <f t="shared" si="2"/>
        <v>-582</v>
      </c>
      <c r="L23" s="81">
        <f t="shared" si="2"/>
        <v>-581</v>
      </c>
      <c r="O23" s="60" t="s">
        <v>124</v>
      </c>
      <c r="R23" s="58" t="s">
        <v>101</v>
      </c>
    </row>
    <row r="24" spans="1:18" ht="17.100000000000001" customHeight="1" x14ac:dyDescent="0.25">
      <c r="A24" s="78" t="s">
        <v>268</v>
      </c>
      <c r="B24" s="80">
        <v>435</v>
      </c>
      <c r="C24" s="80"/>
      <c r="D24" s="90">
        <v>0.5</v>
      </c>
      <c r="E24" s="35">
        <v>2.5</v>
      </c>
      <c r="F24" s="35">
        <f t="shared" si="1"/>
        <v>1.25</v>
      </c>
      <c r="G24" s="89" t="s">
        <v>155</v>
      </c>
      <c r="H24" s="89">
        <v>1</v>
      </c>
      <c r="I24" s="64" t="s">
        <v>99</v>
      </c>
      <c r="J24" s="64"/>
      <c r="K24" s="81">
        <f t="shared" si="2"/>
        <v>-574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193" t="s">
        <v>305</v>
      </c>
      <c r="C25" s="194"/>
      <c r="D25" s="194"/>
      <c r="E25" s="194"/>
      <c r="F25" s="194"/>
      <c r="G25" s="194"/>
      <c r="H25" s="194"/>
      <c r="I25" s="195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9"/>
      <c r="H26" s="89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9"/>
      <c r="H27" s="89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90"/>
      <c r="E28" s="35"/>
      <c r="F28" s="35"/>
      <c r="G28" s="89"/>
      <c r="H28" s="89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9"/>
      <c r="H29" s="89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90"/>
      <c r="E30" s="35"/>
      <c r="F30" s="35"/>
      <c r="G30" s="89"/>
      <c r="H30" s="89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90"/>
      <c r="E31" s="35"/>
      <c r="F31" s="35"/>
      <c r="G31" s="89"/>
      <c r="H31" s="89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9"/>
      <c r="H32" s="89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90"/>
      <c r="E33" s="35"/>
      <c r="F33" s="35"/>
      <c r="G33" s="89"/>
      <c r="H33" s="89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9"/>
      <c r="H34" s="89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90"/>
      <c r="E35" s="35"/>
      <c r="F35" s="35"/>
      <c r="G35" s="89"/>
      <c r="H35" s="89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9"/>
      <c r="H36" s="89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9"/>
      <c r="H37" s="89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90"/>
      <c r="E38" s="35"/>
      <c r="F38" s="35"/>
      <c r="G38" s="89"/>
      <c r="H38" s="89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90"/>
      <c r="E39" s="35"/>
      <c r="F39" s="35"/>
      <c r="G39" s="89"/>
      <c r="H39" s="89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9"/>
      <c r="H40" s="89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90"/>
      <c r="E41" s="35"/>
      <c r="F41" s="35"/>
      <c r="G41" s="89"/>
      <c r="H41" s="89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90"/>
      <c r="E42" s="35"/>
      <c r="F42" s="35"/>
      <c r="G42" s="89"/>
      <c r="H42" s="89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102"/>
      <c r="H43" s="10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3">SUMIF($G$18:$G$43,E44,$F$18:$F$43)</f>
        <v>0.5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128</v>
      </c>
      <c r="D45" s="35">
        <f t="shared" ref="D45" si="4">SUM(C45*B45)</f>
        <v>384</v>
      </c>
      <c r="E45" s="64" t="s">
        <v>120</v>
      </c>
      <c r="F45" s="35">
        <f t="shared" si="3"/>
        <v>0.5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128</v>
      </c>
      <c r="D46" s="35">
        <f t="shared" ref="D46" si="5">SUM(C46*B46)</f>
        <v>384</v>
      </c>
      <c r="E46" s="64" t="s">
        <v>121</v>
      </c>
      <c r="F46" s="35">
        <f t="shared" si="3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12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3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3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256</v>
      </c>
      <c r="D49" s="35">
        <f>SUM(D45:D47)</f>
        <v>768</v>
      </c>
      <c r="E49" s="64" t="s">
        <v>124</v>
      </c>
      <c r="F49" s="35">
        <f t="shared" si="3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B25:I25"/>
    <mergeCell ref="G16:G17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26:G43 G18:G24" xr:uid="{760F02AC-B9C7-4846-9D97-EF85636DFB71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4F36-2C5E-4219-86B7-7C15C41A7376}">
  <sheetPr>
    <pageSetUpPr fitToPage="1"/>
  </sheetPr>
  <dimension ref="A1:W71"/>
  <sheetViews>
    <sheetView zoomScaleNormal="100" workbookViewId="0">
      <selection activeCell="H15" sqref="H15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213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  <c r="K8" t="s">
        <v>223</v>
      </c>
      <c r="M8">
        <v>3001</v>
      </c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224</v>
      </c>
      <c r="M9">
        <v>3205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227</v>
      </c>
      <c r="G11" s="143"/>
      <c r="H11" s="178"/>
      <c r="I11" s="180" t="s">
        <v>340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225</v>
      </c>
      <c r="H14" s="79" t="s">
        <v>391</v>
      </c>
      <c r="I14" s="177" t="s">
        <v>172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226</v>
      </c>
      <c r="H15" s="79" t="s">
        <v>392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0</v>
      </c>
      <c r="C18" s="80">
        <v>204</v>
      </c>
      <c r="D18" s="72">
        <f>C18-B18</f>
        <v>204</v>
      </c>
      <c r="E18" s="35">
        <v>3</v>
      </c>
      <c r="F18" s="35">
        <f t="shared" ref="F18:F20" si="0">E18*D18</f>
        <v>612</v>
      </c>
      <c r="G18" s="89" t="s">
        <v>110</v>
      </c>
      <c r="H18" s="89"/>
      <c r="I18" s="64" t="s">
        <v>105</v>
      </c>
      <c r="J18" s="64">
        <v>159</v>
      </c>
      <c r="K18" s="81">
        <f>B18-3001</f>
        <v>-3001</v>
      </c>
      <c r="L18" s="81">
        <f>C18-3001</f>
        <v>-2797</v>
      </c>
      <c r="O18" s="60" t="s">
        <v>119</v>
      </c>
      <c r="R18" s="59">
        <v>1</v>
      </c>
    </row>
    <row r="19" spans="1:18" ht="17.100000000000001" customHeight="1" x14ac:dyDescent="0.25">
      <c r="A19" s="78"/>
      <c r="B19" s="193" t="s">
        <v>317</v>
      </c>
      <c r="C19" s="194"/>
      <c r="D19" s="194"/>
      <c r="E19" s="194"/>
      <c r="F19" s="194"/>
      <c r="G19" s="194"/>
      <c r="H19" s="194"/>
      <c r="I19" s="195"/>
      <c r="J19" s="64"/>
      <c r="K19" s="81"/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268</v>
      </c>
      <c r="B20" s="80">
        <v>185</v>
      </c>
      <c r="C20" s="80">
        <v>204</v>
      </c>
      <c r="D20" s="72">
        <f>C20-B20</f>
        <v>19</v>
      </c>
      <c r="E20" s="35">
        <v>3</v>
      </c>
      <c r="F20" s="35">
        <f t="shared" si="0"/>
        <v>57</v>
      </c>
      <c r="G20" s="89" t="s">
        <v>110</v>
      </c>
      <c r="H20" s="89"/>
      <c r="I20" s="64" t="s">
        <v>105</v>
      </c>
      <c r="J20" s="64"/>
      <c r="K20" s="81">
        <f t="shared" ref="K20:L20" si="1">B20-3001</f>
        <v>-2816</v>
      </c>
      <c r="L20" s="81">
        <f t="shared" si="1"/>
        <v>-2797</v>
      </c>
      <c r="O20" s="60" t="s">
        <v>121</v>
      </c>
      <c r="R20" s="59">
        <v>3</v>
      </c>
    </row>
    <row r="21" spans="1:18" ht="17.100000000000001" customHeight="1" x14ac:dyDescent="0.25">
      <c r="A21" s="78"/>
      <c r="B21" s="193" t="s">
        <v>306</v>
      </c>
      <c r="C21" s="194"/>
      <c r="D21" s="194"/>
      <c r="E21" s="194"/>
      <c r="F21" s="194"/>
      <c r="G21" s="194"/>
      <c r="H21" s="194"/>
      <c r="I21" s="195"/>
      <c r="J21" s="64"/>
      <c r="K21" s="81"/>
      <c r="L21" s="81"/>
      <c r="O21" s="60" t="s">
        <v>122</v>
      </c>
      <c r="R21" s="58" t="s">
        <v>99</v>
      </c>
    </row>
    <row r="22" spans="1:18" ht="17.100000000000001" customHeight="1" x14ac:dyDescent="0.25">
      <c r="A22" s="78"/>
      <c r="B22" s="80"/>
      <c r="C22" s="80"/>
      <c r="D22" s="72"/>
      <c r="E22" s="35"/>
      <c r="F22" s="35"/>
      <c r="G22" s="83"/>
      <c r="H22" s="83"/>
      <c r="I22" s="64"/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80"/>
      <c r="C23" s="80"/>
      <c r="D23" s="72"/>
      <c r="E23" s="35"/>
      <c r="F23" s="35"/>
      <c r="G23" s="83"/>
      <c r="H23" s="83"/>
      <c r="I23" s="64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2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204</v>
      </c>
      <c r="D45" s="35">
        <f t="shared" ref="D45" si="3">SUM(C45*B45)</f>
        <v>612</v>
      </c>
      <c r="E45" s="64" t="s">
        <v>120</v>
      </c>
      <c r="F45" s="35">
        <f t="shared" si="2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19</v>
      </c>
      <c r="D46" s="35">
        <f t="shared" ref="D46" si="4">SUM(C46*B46)</f>
        <v>57</v>
      </c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2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223</v>
      </c>
      <c r="D49" s="35">
        <f>SUM(D45:D47)</f>
        <v>669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H16:H17"/>
    <mergeCell ref="I16:I17"/>
    <mergeCell ref="J16:J17"/>
    <mergeCell ref="G63:J63"/>
    <mergeCell ref="G64:J64"/>
    <mergeCell ref="G16:G17"/>
    <mergeCell ref="B19:I19"/>
    <mergeCell ref="B21:I21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G18 G20 G22:G43" xr:uid="{4246CCDC-0D6B-4B66-97DA-8A61E587693B}">
      <formula1>$O$17:$O$48</formula1>
    </dataValidation>
    <dataValidation type="list" allowBlank="1" showInputMessage="1" showErrorMessage="1" sqref="H18 H20 H22:H43" xr:uid="{56E2E52B-6FC9-4862-8C85-8D4E13E9FAF6}">
      <formula1>$R$17:$R$23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2B68-9F06-47A8-BC15-DA5783C5719C}">
  <sheetPr>
    <pageSetUpPr fitToPage="1"/>
  </sheetPr>
  <dimension ref="A1:W71"/>
  <sheetViews>
    <sheetView topLeftCell="A3" zoomScaleNormal="100" workbookViewId="0">
      <selection activeCell="H15" sqref="H15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229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  <c r="K8" t="s">
        <v>230</v>
      </c>
      <c r="M8">
        <v>700</v>
      </c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231</v>
      </c>
      <c r="M9">
        <v>874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228</v>
      </c>
      <c r="G11" s="143"/>
      <c r="H11" s="178"/>
      <c r="I11" s="180" t="s">
        <v>341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232</v>
      </c>
      <c r="H14" s="79" t="s">
        <v>233</v>
      </c>
      <c r="I14" s="177" t="s">
        <v>265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234</v>
      </c>
      <c r="H15" s="79" t="s">
        <v>235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0</v>
      </c>
      <c r="C18" s="80">
        <v>129</v>
      </c>
      <c r="D18" s="72">
        <f>C18-B18</f>
        <v>129</v>
      </c>
      <c r="E18" s="35">
        <v>3</v>
      </c>
      <c r="F18" s="35">
        <f t="shared" ref="F18:F26" si="0">E18*D18</f>
        <v>387</v>
      </c>
      <c r="G18" s="89" t="s">
        <v>110</v>
      </c>
      <c r="H18" s="89"/>
      <c r="I18" s="64" t="s">
        <v>105</v>
      </c>
      <c r="J18" s="64">
        <v>160</v>
      </c>
      <c r="K18" s="81">
        <f>B18-700</f>
        <v>-700</v>
      </c>
      <c r="L18" s="81">
        <f>C18-700</f>
        <v>-571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19</v>
      </c>
      <c r="C19" s="80"/>
      <c r="D19" s="90">
        <v>0.5</v>
      </c>
      <c r="E19" s="35">
        <v>3</v>
      </c>
      <c r="F19" s="35">
        <f>E19*D19</f>
        <v>1.5</v>
      </c>
      <c r="G19" s="89" t="s">
        <v>151</v>
      </c>
      <c r="H19" s="89"/>
      <c r="I19" s="64" t="s">
        <v>105</v>
      </c>
      <c r="J19" s="64"/>
      <c r="K19" s="81">
        <f t="shared" ref="K19:L26" si="1">B19-700</f>
        <v>-681</v>
      </c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38</v>
      </c>
      <c r="C20" s="80">
        <v>39</v>
      </c>
      <c r="D20" s="72">
        <v>1</v>
      </c>
      <c r="E20" s="35">
        <v>0.5</v>
      </c>
      <c r="F20" s="35">
        <f>E20*D20</f>
        <v>0.5</v>
      </c>
      <c r="G20" s="89" t="s">
        <v>156</v>
      </c>
      <c r="H20" s="89" t="s">
        <v>290</v>
      </c>
      <c r="I20" s="64" t="s">
        <v>102</v>
      </c>
      <c r="J20" s="64">
        <v>161</v>
      </c>
      <c r="K20" s="81">
        <f t="shared" si="1"/>
        <v>-662</v>
      </c>
      <c r="L20" s="81">
        <f t="shared" si="1"/>
        <v>-661</v>
      </c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90</v>
      </c>
      <c r="C21" s="80">
        <v>103</v>
      </c>
      <c r="D21" s="72">
        <f>C21-B21</f>
        <v>13</v>
      </c>
      <c r="E21" s="35">
        <v>1.5</v>
      </c>
      <c r="F21" s="35">
        <f>E21*D21</f>
        <v>19.5</v>
      </c>
      <c r="G21" s="89" t="s">
        <v>122</v>
      </c>
      <c r="H21" s="89">
        <v>2</v>
      </c>
      <c r="I21" s="64" t="s">
        <v>308</v>
      </c>
      <c r="J21" s="64">
        <v>162</v>
      </c>
      <c r="K21" s="81">
        <f t="shared" si="1"/>
        <v>-610</v>
      </c>
      <c r="L21" s="81">
        <f t="shared" si="1"/>
        <v>-597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</v>
      </c>
      <c r="B22" s="80">
        <v>90</v>
      </c>
      <c r="C22" s="80">
        <v>103</v>
      </c>
      <c r="D22" s="72">
        <f>C22-B22</f>
        <v>13</v>
      </c>
      <c r="E22" s="35">
        <v>0.5</v>
      </c>
      <c r="F22" s="35">
        <f>E22*D22</f>
        <v>6.5</v>
      </c>
      <c r="G22" s="89" t="s">
        <v>150</v>
      </c>
      <c r="H22" s="89" t="s">
        <v>101</v>
      </c>
      <c r="I22" s="64" t="s">
        <v>308</v>
      </c>
      <c r="J22" s="64">
        <v>162</v>
      </c>
      <c r="K22" s="81">
        <f t="shared" si="1"/>
        <v>-610</v>
      </c>
      <c r="L22" s="81">
        <f t="shared" si="1"/>
        <v>-597</v>
      </c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103</v>
      </c>
      <c r="C23" s="80">
        <v>129</v>
      </c>
      <c r="D23" s="72">
        <f>C23-B23</f>
        <v>26</v>
      </c>
      <c r="E23" s="35">
        <v>3</v>
      </c>
      <c r="F23" s="35">
        <f>E23*D23</f>
        <v>78</v>
      </c>
      <c r="G23" s="89" t="s">
        <v>130</v>
      </c>
      <c r="H23" s="89">
        <v>2</v>
      </c>
      <c r="I23" s="64" t="s">
        <v>105</v>
      </c>
      <c r="J23" s="64">
        <v>163</v>
      </c>
      <c r="K23" s="81">
        <f t="shared" si="1"/>
        <v>-597</v>
      </c>
      <c r="L23" s="81">
        <f t="shared" si="1"/>
        <v>-571</v>
      </c>
      <c r="O23" s="60" t="s">
        <v>124</v>
      </c>
      <c r="R23" s="58" t="s">
        <v>101</v>
      </c>
    </row>
    <row r="24" spans="1:18" ht="17.100000000000001" customHeight="1" x14ac:dyDescent="0.25">
      <c r="A24" s="78"/>
      <c r="B24" s="193" t="s">
        <v>318</v>
      </c>
      <c r="C24" s="194"/>
      <c r="D24" s="194"/>
      <c r="E24" s="194"/>
      <c r="F24" s="194"/>
      <c r="G24" s="194"/>
      <c r="H24" s="194"/>
      <c r="I24" s="195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129</v>
      </c>
      <c r="C25" s="80">
        <v>174</v>
      </c>
      <c r="D25" s="72">
        <f>C25-B25</f>
        <v>45</v>
      </c>
      <c r="E25" s="35">
        <v>3</v>
      </c>
      <c r="F25" s="35">
        <f t="shared" si="0"/>
        <v>135</v>
      </c>
      <c r="G25" s="89" t="s">
        <v>307</v>
      </c>
      <c r="H25" s="83"/>
      <c r="I25" s="64" t="s">
        <v>105</v>
      </c>
      <c r="J25" s="64"/>
      <c r="K25" s="81">
        <f t="shared" si="1"/>
        <v>-571</v>
      </c>
      <c r="L25" s="81">
        <f t="shared" si="1"/>
        <v>-526</v>
      </c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129</v>
      </c>
      <c r="C26" s="80">
        <v>174</v>
      </c>
      <c r="D26" s="72">
        <f>C26-B26</f>
        <v>45</v>
      </c>
      <c r="E26" s="35">
        <v>3</v>
      </c>
      <c r="F26" s="35">
        <f t="shared" si="0"/>
        <v>135</v>
      </c>
      <c r="G26" s="89" t="s">
        <v>129</v>
      </c>
      <c r="H26" s="89">
        <v>1</v>
      </c>
      <c r="I26" s="64" t="s">
        <v>105</v>
      </c>
      <c r="J26" s="64">
        <v>164</v>
      </c>
      <c r="K26" s="81">
        <f t="shared" si="1"/>
        <v>-571</v>
      </c>
      <c r="L26" s="81">
        <f t="shared" si="1"/>
        <v>-526</v>
      </c>
      <c r="O26" s="60" t="s">
        <v>125</v>
      </c>
      <c r="R26" s="58" t="s">
        <v>104</v>
      </c>
    </row>
    <row r="27" spans="1:18" ht="17.100000000000001" customHeight="1" x14ac:dyDescent="0.25">
      <c r="A27" s="78"/>
      <c r="B27" s="193" t="s">
        <v>309</v>
      </c>
      <c r="C27" s="194"/>
      <c r="D27" s="194"/>
      <c r="E27" s="194"/>
      <c r="F27" s="194"/>
      <c r="G27" s="194"/>
      <c r="H27" s="194"/>
      <c r="I27" s="195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2">SUMIF($G$18:$G$43,E44,$F$18:$F$43)</f>
        <v>0</v>
      </c>
      <c r="G44" s="70" t="s">
        <v>129</v>
      </c>
      <c r="H44" s="71">
        <f>SUMIF($G$18:$G$43,G44,$F$18:$F$43)</f>
        <v>135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174</v>
      </c>
      <c r="D45" s="35">
        <f t="shared" ref="D45" si="3">SUM(C45*B45)</f>
        <v>522</v>
      </c>
      <c r="E45" s="64" t="s">
        <v>120</v>
      </c>
      <c r="F45" s="35">
        <f t="shared" si="2"/>
        <v>0</v>
      </c>
      <c r="G45" s="64" t="s">
        <v>130</v>
      </c>
      <c r="H45" s="35">
        <f>SUMIF($G$18:$G$43,G45,$F$18:$F$43)</f>
        <v>78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82"/>
      <c r="B46" s="82"/>
      <c r="C46" s="82"/>
      <c r="D46" s="82"/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0.5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2"/>
        <v>19.5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174</v>
      </c>
      <c r="D49" s="35">
        <f>SUM(D45:D47)</f>
        <v>522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H16:H17"/>
    <mergeCell ref="I16:I17"/>
    <mergeCell ref="J16:J17"/>
    <mergeCell ref="G63:J63"/>
    <mergeCell ref="G64:J64"/>
    <mergeCell ref="G16:G17"/>
    <mergeCell ref="B24:I24"/>
    <mergeCell ref="B27:I27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H18:H23 H25:H26 H28:H43" xr:uid="{F93C3893-19E3-4385-8D9B-4BE2C6284CCF}">
      <formula1>$R$17:$R$23</formula1>
    </dataValidation>
    <dataValidation type="list" allowBlank="1" showInputMessage="1" showErrorMessage="1" sqref="G26 G18:G23 G28:G43" xr:uid="{36F0620B-3968-4253-9E6F-AD00C9F5E91F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8FA5-8901-46B8-92E8-079DE02D96F0}">
  <sheetPr>
    <pageSetUpPr fitToPage="1"/>
  </sheetPr>
  <dimension ref="A1:W71"/>
  <sheetViews>
    <sheetView topLeftCell="A4" zoomScaleNormal="100" workbookViewId="0">
      <selection activeCell="H15" sqref="H15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229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  <c r="K8" t="s">
        <v>237</v>
      </c>
      <c r="M8">
        <v>1403</v>
      </c>
      <c r="O8">
        <f>1653-1403</f>
        <v>250</v>
      </c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238</v>
      </c>
      <c r="M9">
        <v>1653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236</v>
      </c>
      <c r="G11" s="143"/>
      <c r="H11" s="178"/>
      <c r="I11" s="180" t="s">
        <v>342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239</v>
      </c>
      <c r="H14" s="79" t="s">
        <v>240</v>
      </c>
      <c r="I14" s="177" t="s">
        <v>266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241</v>
      </c>
      <c r="H15" s="79" t="s">
        <v>242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80">
        <v>0</v>
      </c>
      <c r="C18" s="80">
        <v>250</v>
      </c>
      <c r="D18" s="72">
        <f>C18-B18</f>
        <v>250</v>
      </c>
      <c r="E18" s="35">
        <v>6</v>
      </c>
      <c r="F18" s="35">
        <f t="shared" ref="F18:F22" si="0">E18*D18</f>
        <v>1500</v>
      </c>
      <c r="G18" s="89" t="s">
        <v>110</v>
      </c>
      <c r="H18" s="89"/>
      <c r="I18" s="64" t="s">
        <v>105</v>
      </c>
      <c r="J18" s="64">
        <v>165</v>
      </c>
      <c r="K18" s="81">
        <f>B18-1403</f>
        <v>-1403</v>
      </c>
      <c r="L18" s="81">
        <f>C18-1403</f>
        <v>-1153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14</v>
      </c>
      <c r="C19" s="80"/>
      <c r="D19" s="90">
        <v>0.5</v>
      </c>
      <c r="E19" s="35">
        <v>3</v>
      </c>
      <c r="F19" s="35">
        <f t="shared" si="0"/>
        <v>1.5</v>
      </c>
      <c r="G19" s="89" t="s">
        <v>151</v>
      </c>
      <c r="H19" s="89"/>
      <c r="I19" s="64" t="s">
        <v>105</v>
      </c>
      <c r="J19" s="64"/>
      <c r="K19" s="81">
        <f t="shared" ref="K19:K22" si="1">B19-1403</f>
        <v>-1389</v>
      </c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268</v>
      </c>
      <c r="B20" s="80">
        <v>89</v>
      </c>
      <c r="C20" s="80"/>
      <c r="D20" s="90">
        <v>0.5</v>
      </c>
      <c r="E20" s="35">
        <v>0.5</v>
      </c>
      <c r="F20" s="35">
        <f t="shared" si="0"/>
        <v>0.25</v>
      </c>
      <c r="G20" s="89" t="s">
        <v>120</v>
      </c>
      <c r="H20" s="89">
        <v>2</v>
      </c>
      <c r="I20" s="64" t="s">
        <v>103</v>
      </c>
      <c r="J20" s="64">
        <v>166</v>
      </c>
      <c r="K20" s="81">
        <f t="shared" si="1"/>
        <v>-1314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268</v>
      </c>
      <c r="B21" s="80">
        <v>89</v>
      </c>
      <c r="C21" s="80"/>
      <c r="D21" s="90">
        <v>0.5</v>
      </c>
      <c r="E21" s="35">
        <v>1.5</v>
      </c>
      <c r="F21" s="35">
        <f>E21*D21</f>
        <v>0.75</v>
      </c>
      <c r="G21" s="89" t="s">
        <v>125</v>
      </c>
      <c r="H21" s="89">
        <v>1</v>
      </c>
      <c r="I21" s="64" t="s">
        <v>99</v>
      </c>
      <c r="J21" s="64">
        <v>166</v>
      </c>
      <c r="K21" s="81">
        <f t="shared" si="1"/>
        <v>-1314</v>
      </c>
      <c r="L21" s="81"/>
      <c r="O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244</v>
      </c>
      <c r="C22" s="80"/>
      <c r="D22" s="90">
        <v>0.5</v>
      </c>
      <c r="E22" s="35">
        <v>3</v>
      </c>
      <c r="F22" s="35">
        <f t="shared" si="0"/>
        <v>1.5</v>
      </c>
      <c r="G22" s="89" t="s">
        <v>151</v>
      </c>
      <c r="H22" s="89"/>
      <c r="I22" s="64" t="s">
        <v>105</v>
      </c>
      <c r="J22" s="64"/>
      <c r="K22" s="81">
        <f t="shared" si="1"/>
        <v>-1159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193" t="s">
        <v>310</v>
      </c>
      <c r="C23" s="194"/>
      <c r="D23" s="194"/>
      <c r="E23" s="194"/>
      <c r="F23" s="194"/>
      <c r="G23" s="194"/>
      <c r="H23" s="194"/>
      <c r="I23" s="195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2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250</v>
      </c>
      <c r="D45" s="35">
        <f t="shared" ref="D45" si="3">SUM(C45*B45)</f>
        <v>750</v>
      </c>
      <c r="E45" s="64" t="s">
        <v>120</v>
      </c>
      <c r="F45" s="35">
        <f t="shared" si="2"/>
        <v>0.25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250</v>
      </c>
      <c r="D46" s="35">
        <f t="shared" ref="D46" si="4">SUM(C46*B46)</f>
        <v>750</v>
      </c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0.75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2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500</v>
      </c>
      <c r="D49" s="35">
        <f>SUM(D45:D47)</f>
        <v>1500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23:I23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G24:G43 G18:G22" xr:uid="{C8153FB9-B6FB-4145-9C1D-14A995FA3CE8}">
      <formula1>$O$17:$O$48</formula1>
    </dataValidation>
    <dataValidation type="list" allowBlank="1" showInputMessage="1" showErrorMessage="1" sqref="H24:H43 H18:H22" xr:uid="{82976064-F2D3-4DCD-9B4A-14026C89AEFB}">
      <formula1>$R$17:$R$23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7DA7-266F-4BEB-A69C-1630B4E8F497}">
  <sheetPr>
    <pageSetUpPr fitToPage="1"/>
  </sheetPr>
  <dimension ref="A1:W71"/>
  <sheetViews>
    <sheetView tabSelected="1" topLeftCell="A3" zoomScaleNormal="100" workbookViewId="0">
      <selection activeCell="F11" sqref="F11:H12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L7" t="s">
        <v>168</v>
      </c>
      <c r="M7" s="58" t="s">
        <v>272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L9" s="99" t="s">
        <v>169</v>
      </c>
      <c r="M9" s="99"/>
      <c r="N9">
        <v>782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L10" s="99"/>
      <c r="M10" s="99"/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395</v>
      </c>
      <c r="G11" s="143"/>
      <c r="H11" s="178"/>
      <c r="I11" s="180" t="s">
        <v>320</v>
      </c>
      <c r="J11" s="181"/>
      <c r="L11" s="99">
        <v>376042</v>
      </c>
      <c r="M11" s="99">
        <v>287032</v>
      </c>
      <c r="N11">
        <v>1053</v>
      </c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347</v>
      </c>
      <c r="H14" s="79" t="s">
        <v>170</v>
      </c>
      <c r="I14" s="177" t="s">
        <v>244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348</v>
      </c>
      <c r="H15" s="79" t="s">
        <v>171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72">
        <v>0</v>
      </c>
      <c r="C18" s="72">
        <v>271</v>
      </c>
      <c r="D18" s="72">
        <f>C18-B18</f>
        <v>271</v>
      </c>
      <c r="E18" s="35">
        <v>7.3</v>
      </c>
      <c r="F18" s="35">
        <f t="shared" ref="F18:F22" si="0">E18*D18</f>
        <v>1978.3</v>
      </c>
      <c r="G18" s="89" t="s">
        <v>110</v>
      </c>
      <c r="H18" s="35"/>
      <c r="I18" s="35" t="s">
        <v>105</v>
      </c>
      <c r="J18" s="64">
        <v>17</v>
      </c>
      <c r="K18" s="81">
        <f>B18-782</f>
        <v>-782</v>
      </c>
      <c r="L18" s="81">
        <f>C18-782</f>
        <v>-511</v>
      </c>
      <c r="O18" s="60" t="s">
        <v>119</v>
      </c>
      <c r="R18" s="59">
        <v>1</v>
      </c>
    </row>
    <row r="19" spans="1:18" ht="17.100000000000001" customHeight="1" x14ac:dyDescent="0.25">
      <c r="A19" s="78" t="s">
        <v>268</v>
      </c>
      <c r="B19" s="80">
        <v>83</v>
      </c>
      <c r="C19" s="80">
        <v>84</v>
      </c>
      <c r="D19" s="72">
        <v>1</v>
      </c>
      <c r="E19" s="35">
        <v>2</v>
      </c>
      <c r="F19" s="35">
        <f t="shared" si="0"/>
        <v>2</v>
      </c>
      <c r="G19" s="89" t="s">
        <v>124</v>
      </c>
      <c r="H19" s="89">
        <v>2</v>
      </c>
      <c r="I19" s="64" t="s">
        <v>99</v>
      </c>
      <c r="J19" s="64">
        <v>18</v>
      </c>
      <c r="K19" s="81">
        <f t="shared" ref="K19:L26" si="1">B19-782</f>
        <v>-699</v>
      </c>
      <c r="L19" s="81">
        <f t="shared" si="1"/>
        <v>-698</v>
      </c>
      <c r="O19" s="60" t="s">
        <v>120</v>
      </c>
      <c r="R19" s="59">
        <v>2</v>
      </c>
    </row>
    <row r="20" spans="1:18" ht="17.100000000000001" customHeight="1" x14ac:dyDescent="0.25">
      <c r="A20" s="78" t="s">
        <v>273</v>
      </c>
      <c r="B20" s="80">
        <v>85</v>
      </c>
      <c r="C20" s="80"/>
      <c r="D20" s="90">
        <v>0.5</v>
      </c>
      <c r="E20" s="35">
        <v>3.65</v>
      </c>
      <c r="F20" s="35">
        <f t="shared" si="0"/>
        <v>1.825</v>
      </c>
      <c r="G20" s="89" t="s">
        <v>123</v>
      </c>
      <c r="H20" s="89">
        <v>1</v>
      </c>
      <c r="I20" s="64" t="s">
        <v>105</v>
      </c>
      <c r="J20" s="64">
        <v>19</v>
      </c>
      <c r="K20" s="81">
        <f t="shared" si="1"/>
        <v>-697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112</v>
      </c>
      <c r="C21" s="80"/>
      <c r="D21" s="90">
        <v>0.5</v>
      </c>
      <c r="E21" s="35">
        <v>0.5</v>
      </c>
      <c r="F21" s="35">
        <f t="shared" si="0"/>
        <v>0.25</v>
      </c>
      <c r="G21" s="89" t="s">
        <v>148</v>
      </c>
      <c r="H21" s="89"/>
      <c r="I21" s="64" t="s">
        <v>102</v>
      </c>
      <c r="J21" s="64"/>
      <c r="K21" s="81">
        <f t="shared" si="1"/>
        <v>-670</v>
      </c>
      <c r="L21" s="81"/>
      <c r="O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112</v>
      </c>
      <c r="C22" s="80"/>
      <c r="D22" s="90">
        <v>0.5</v>
      </c>
      <c r="E22" s="35">
        <v>0.5</v>
      </c>
      <c r="F22" s="35">
        <f t="shared" si="0"/>
        <v>0.25</v>
      </c>
      <c r="G22" s="89" t="s">
        <v>148</v>
      </c>
      <c r="H22" s="89"/>
      <c r="I22" s="64" t="s">
        <v>102</v>
      </c>
      <c r="J22" s="64"/>
      <c r="K22" s="81">
        <f t="shared" si="1"/>
        <v>-670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168</v>
      </c>
      <c r="C23" s="80"/>
      <c r="D23" s="90">
        <v>0.5</v>
      </c>
      <c r="E23" s="35">
        <v>0.5</v>
      </c>
      <c r="F23" s="35">
        <f t="shared" ref="F23" si="2">E23*D23</f>
        <v>0.25</v>
      </c>
      <c r="G23" s="89" t="s">
        <v>148</v>
      </c>
      <c r="H23" s="89"/>
      <c r="I23" s="64" t="s">
        <v>102</v>
      </c>
      <c r="J23" s="64"/>
      <c r="K23" s="81">
        <f t="shared" si="1"/>
        <v>-614</v>
      </c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268</v>
      </c>
      <c r="B24" s="80">
        <v>168</v>
      </c>
      <c r="C24" s="80"/>
      <c r="D24" s="90">
        <v>0.5</v>
      </c>
      <c r="E24" s="35">
        <v>0.5</v>
      </c>
      <c r="F24" s="35">
        <f t="shared" ref="F24" si="3">E24*D24</f>
        <v>0.25</v>
      </c>
      <c r="G24" s="89" t="s">
        <v>148</v>
      </c>
      <c r="H24" s="89"/>
      <c r="I24" s="64" t="s">
        <v>102</v>
      </c>
      <c r="J24" s="64"/>
      <c r="K24" s="81">
        <f t="shared" si="1"/>
        <v>-614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226</v>
      </c>
      <c r="C25" s="80"/>
      <c r="D25" s="90">
        <v>0.5</v>
      </c>
      <c r="E25" s="35">
        <v>0.5</v>
      </c>
      <c r="F25" s="35">
        <f t="shared" ref="F25" si="4">E25*D25</f>
        <v>0.25</v>
      </c>
      <c r="G25" s="89" t="s">
        <v>148</v>
      </c>
      <c r="H25" s="89"/>
      <c r="I25" s="64" t="s">
        <v>102</v>
      </c>
      <c r="J25" s="64"/>
      <c r="K25" s="81">
        <f t="shared" si="1"/>
        <v>-556</v>
      </c>
      <c r="L25" s="81"/>
      <c r="O25" s="60" t="s">
        <v>130</v>
      </c>
      <c r="R25" s="58" t="s">
        <v>103</v>
      </c>
    </row>
    <row r="26" spans="1:18" ht="17.100000000000001" customHeight="1" x14ac:dyDescent="0.25">
      <c r="A26" s="78" t="s">
        <v>268</v>
      </c>
      <c r="B26" s="80">
        <v>226</v>
      </c>
      <c r="C26" s="80"/>
      <c r="D26" s="90">
        <v>0.5</v>
      </c>
      <c r="E26" s="35">
        <v>0.5</v>
      </c>
      <c r="F26" s="35">
        <f t="shared" ref="F26" si="5">E26*D26</f>
        <v>0.25</v>
      </c>
      <c r="G26" s="89" t="s">
        <v>148</v>
      </c>
      <c r="H26" s="89"/>
      <c r="I26" s="64" t="s">
        <v>102</v>
      </c>
      <c r="J26" s="64"/>
      <c r="K26" s="81">
        <f t="shared" si="1"/>
        <v>-556</v>
      </c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193" t="s">
        <v>274</v>
      </c>
      <c r="C27" s="194"/>
      <c r="D27" s="194"/>
      <c r="E27" s="194"/>
      <c r="F27" s="194"/>
      <c r="G27" s="194"/>
      <c r="H27" s="194"/>
      <c r="I27" s="195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64">
        <v>3.65</v>
      </c>
      <c r="C45" s="35">
        <v>271</v>
      </c>
      <c r="D45" s="35">
        <f t="shared" ref="D45:D46" si="6">SUM(C45*B45)</f>
        <v>989.15</v>
      </c>
      <c r="E45" s="64" t="s">
        <v>120</v>
      </c>
      <c r="F45" s="35">
        <f t="shared" ref="F45:F49" si="7">SUMIF($G$18:$G$43,E45,$F$18:$F$43)</f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21</v>
      </c>
      <c r="B46" s="64">
        <v>3.65</v>
      </c>
      <c r="C46" s="35">
        <v>271</v>
      </c>
      <c r="D46" s="35">
        <f t="shared" si="6"/>
        <v>989.15</v>
      </c>
      <c r="E46" s="64" t="s">
        <v>121</v>
      </c>
      <c r="F46" s="35">
        <f t="shared" si="7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7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7"/>
        <v>1.825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542</v>
      </c>
      <c r="D49" s="35">
        <f>SUM(D45:D47)</f>
        <v>1978.3</v>
      </c>
      <c r="E49" s="64" t="s">
        <v>124</v>
      </c>
      <c r="F49" s="35">
        <f t="shared" si="7"/>
        <v>2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27:I27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H19:H26 H28:H43" xr:uid="{C53DB843-ACBE-4CE2-9ABB-F8925E2DD5D9}">
      <formula1>$R$17:$R$23</formula1>
    </dataValidation>
    <dataValidation type="list" allowBlank="1" showInputMessage="1" showErrorMessage="1" sqref="G18:G26 G28:G43" xr:uid="{A8D979A2-0523-4EB0-957C-8605046B7166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4D2C-5B7B-430A-872E-66D0DAEB19CA}">
  <sheetPr>
    <pageSetUpPr fitToPage="1"/>
  </sheetPr>
  <dimension ref="A1:W71"/>
  <sheetViews>
    <sheetView topLeftCell="A13" zoomScaleNormal="100" workbookViewId="0">
      <selection activeCell="E22" sqref="E22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L7" t="s">
        <v>173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159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L9" t="s">
        <v>174</v>
      </c>
      <c r="N9">
        <v>4979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L10" t="s">
        <v>175</v>
      </c>
      <c r="N10">
        <v>5215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395</v>
      </c>
      <c r="G11" s="143"/>
      <c r="H11" s="178"/>
      <c r="I11" s="180" t="s">
        <v>321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349</v>
      </c>
      <c r="H14" s="79" t="s">
        <v>351</v>
      </c>
      <c r="I14" s="177" t="s">
        <v>245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350</v>
      </c>
      <c r="H15" s="79" t="s">
        <v>352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0</v>
      </c>
      <c r="C18" s="80">
        <v>236</v>
      </c>
      <c r="D18" s="72">
        <f>C18-B18</f>
        <v>236</v>
      </c>
      <c r="E18" s="35">
        <v>3.65</v>
      </c>
      <c r="F18" s="35">
        <f>E18*D18</f>
        <v>861.4</v>
      </c>
      <c r="G18" s="89" t="s">
        <v>110</v>
      </c>
      <c r="H18" s="89"/>
      <c r="I18" s="64" t="s">
        <v>105</v>
      </c>
      <c r="J18" s="101">
        <v>20</v>
      </c>
      <c r="K18" s="81">
        <f>B18-4979</f>
        <v>-4979</v>
      </c>
      <c r="L18" s="81">
        <f>C18-4979</f>
        <v>-4743</v>
      </c>
      <c r="O18" s="60" t="s">
        <v>119</v>
      </c>
      <c r="R18" s="59">
        <v>1</v>
      </c>
    </row>
    <row r="19" spans="1:18" ht="17.100000000000001" customHeight="1" x14ac:dyDescent="0.25">
      <c r="A19" s="78" t="s">
        <v>268</v>
      </c>
      <c r="B19" s="72">
        <v>0</v>
      </c>
      <c r="C19" s="72">
        <v>16</v>
      </c>
      <c r="D19" s="72">
        <f>C19-B19</f>
        <v>16</v>
      </c>
      <c r="E19" s="35">
        <v>3.65</v>
      </c>
      <c r="F19" s="35">
        <f t="shared" ref="F19:F28" si="0">E19*D19</f>
        <v>58.4</v>
      </c>
      <c r="G19" s="89" t="s">
        <v>110</v>
      </c>
      <c r="H19" s="35"/>
      <c r="I19" s="100" t="s">
        <v>105</v>
      </c>
      <c r="J19" s="82"/>
      <c r="K19" s="81">
        <f t="shared" ref="K19:L28" si="1">B19-4979</f>
        <v>-4979</v>
      </c>
      <c r="L19" s="81">
        <f t="shared" si="1"/>
        <v>-4963</v>
      </c>
      <c r="O19" s="60" t="s">
        <v>120</v>
      </c>
      <c r="R19" s="59">
        <v>2</v>
      </c>
    </row>
    <row r="20" spans="1:18" ht="17.100000000000001" customHeight="1" x14ac:dyDescent="0.25">
      <c r="A20" s="78" t="s">
        <v>267</v>
      </c>
      <c r="B20" s="80">
        <v>2</v>
      </c>
      <c r="C20" s="80"/>
      <c r="D20" s="90">
        <v>0.5</v>
      </c>
      <c r="E20" s="35">
        <v>7.3</v>
      </c>
      <c r="F20" s="35">
        <f t="shared" si="0"/>
        <v>3.65</v>
      </c>
      <c r="G20" s="89" t="s">
        <v>151</v>
      </c>
      <c r="H20" s="89"/>
      <c r="I20" s="64" t="s">
        <v>105</v>
      </c>
      <c r="J20" s="70"/>
      <c r="K20" s="81">
        <f t="shared" si="1"/>
        <v>-4977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267</v>
      </c>
      <c r="B21" s="80">
        <v>15</v>
      </c>
      <c r="C21" s="80"/>
      <c r="D21" s="90">
        <v>0.5</v>
      </c>
      <c r="E21" s="35">
        <v>7.3</v>
      </c>
      <c r="F21" s="35">
        <f t="shared" si="0"/>
        <v>3.65</v>
      </c>
      <c r="G21" s="89" t="s">
        <v>275</v>
      </c>
      <c r="H21" s="89"/>
      <c r="I21" s="64" t="s">
        <v>105</v>
      </c>
      <c r="J21" s="64"/>
      <c r="K21" s="81">
        <f t="shared" si="1"/>
        <v>-4964</v>
      </c>
      <c r="L21" s="81"/>
      <c r="O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16</v>
      </c>
      <c r="C22" s="80"/>
      <c r="D22" s="90">
        <v>0.5</v>
      </c>
      <c r="E22" s="35">
        <v>0.5</v>
      </c>
      <c r="F22" s="35">
        <f t="shared" si="0"/>
        <v>0.25</v>
      </c>
      <c r="G22" s="89" t="s">
        <v>127</v>
      </c>
      <c r="H22" s="89"/>
      <c r="I22" s="64" t="s">
        <v>102</v>
      </c>
      <c r="J22" s="64">
        <v>21</v>
      </c>
      <c r="K22" s="81">
        <f t="shared" si="1"/>
        <v>-4963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193" t="s">
        <v>312</v>
      </c>
      <c r="C23" s="194"/>
      <c r="D23" s="194"/>
      <c r="E23" s="194"/>
      <c r="F23" s="194"/>
      <c r="G23" s="194"/>
      <c r="H23" s="194"/>
      <c r="I23" s="195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76</v>
      </c>
      <c r="C24" s="80">
        <v>85</v>
      </c>
      <c r="D24" s="72">
        <f>C24-B24</f>
        <v>9</v>
      </c>
      <c r="E24" s="35">
        <v>0.5</v>
      </c>
      <c r="F24" s="35">
        <f>E24*D24</f>
        <v>4.5</v>
      </c>
      <c r="G24" s="89" t="s">
        <v>130</v>
      </c>
      <c r="H24" s="89">
        <v>2</v>
      </c>
      <c r="I24" s="64" t="s">
        <v>103</v>
      </c>
      <c r="J24" s="64">
        <v>22</v>
      </c>
      <c r="K24" s="81">
        <f t="shared" si="1"/>
        <v>-4903</v>
      </c>
      <c r="L24" s="81">
        <f t="shared" si="1"/>
        <v>-4894</v>
      </c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114</v>
      </c>
      <c r="C25" s="80">
        <v>118</v>
      </c>
      <c r="D25" s="72">
        <f>C25-B25</f>
        <v>4</v>
      </c>
      <c r="E25" s="35">
        <v>3.65</v>
      </c>
      <c r="F25" s="35">
        <f>E25*D25</f>
        <v>14.6</v>
      </c>
      <c r="G25" s="89" t="s">
        <v>130</v>
      </c>
      <c r="H25" s="89">
        <v>2</v>
      </c>
      <c r="I25" s="64" t="s">
        <v>105</v>
      </c>
      <c r="J25" s="64">
        <v>23</v>
      </c>
      <c r="K25" s="81">
        <f t="shared" si="1"/>
        <v>-4865</v>
      </c>
      <c r="L25" s="81">
        <f t="shared" si="1"/>
        <v>-4861</v>
      </c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148</v>
      </c>
      <c r="C26" s="80">
        <v>158</v>
      </c>
      <c r="D26" s="72">
        <f>C26-B26</f>
        <v>10</v>
      </c>
      <c r="E26" s="35">
        <v>2</v>
      </c>
      <c r="F26" s="35">
        <f t="shared" si="0"/>
        <v>20</v>
      </c>
      <c r="G26" s="89" t="s">
        <v>130</v>
      </c>
      <c r="H26" s="89">
        <v>2</v>
      </c>
      <c r="I26" s="64" t="s">
        <v>99</v>
      </c>
      <c r="J26" s="64">
        <v>24</v>
      </c>
      <c r="K26" s="81">
        <f t="shared" si="1"/>
        <v>-4831</v>
      </c>
      <c r="L26" s="81">
        <f t="shared" si="1"/>
        <v>-4821</v>
      </c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196</v>
      </c>
      <c r="C27" s="80">
        <v>214</v>
      </c>
      <c r="D27" s="72">
        <f>C27-B27</f>
        <v>18</v>
      </c>
      <c r="E27" s="35">
        <v>1</v>
      </c>
      <c r="F27" s="35">
        <f t="shared" si="0"/>
        <v>18</v>
      </c>
      <c r="G27" s="89" t="s">
        <v>130</v>
      </c>
      <c r="H27" s="89">
        <v>2</v>
      </c>
      <c r="I27" s="64" t="s">
        <v>102</v>
      </c>
      <c r="J27" s="64">
        <v>25</v>
      </c>
      <c r="K27" s="81">
        <f t="shared" si="1"/>
        <v>-4783</v>
      </c>
      <c r="L27" s="81">
        <f t="shared" si="1"/>
        <v>-4765</v>
      </c>
      <c r="O27" s="60" t="s">
        <v>126</v>
      </c>
      <c r="R27" s="58" t="s">
        <v>99</v>
      </c>
    </row>
    <row r="28" spans="1:18" ht="17.100000000000001" customHeight="1" x14ac:dyDescent="0.25">
      <c r="A28" s="78" t="s">
        <v>21</v>
      </c>
      <c r="B28" s="80">
        <v>214</v>
      </c>
      <c r="C28" s="80">
        <v>236</v>
      </c>
      <c r="D28" s="72">
        <f>C28-B28</f>
        <v>22</v>
      </c>
      <c r="E28" s="35">
        <v>3.65</v>
      </c>
      <c r="F28" s="35">
        <f t="shared" si="0"/>
        <v>80.3</v>
      </c>
      <c r="G28" s="89" t="s">
        <v>130</v>
      </c>
      <c r="H28" s="89">
        <v>2</v>
      </c>
      <c r="I28" s="64" t="s">
        <v>105</v>
      </c>
      <c r="J28" s="64">
        <v>26</v>
      </c>
      <c r="K28" s="81">
        <f t="shared" si="1"/>
        <v>-4765</v>
      </c>
      <c r="L28" s="81">
        <f t="shared" si="1"/>
        <v>-4743</v>
      </c>
      <c r="O28" s="60" t="s">
        <v>107</v>
      </c>
      <c r="R28" s="58" t="s">
        <v>105</v>
      </c>
    </row>
    <row r="29" spans="1:18" ht="17.100000000000001" customHeight="1" x14ac:dyDescent="0.25">
      <c r="A29" s="78"/>
      <c r="B29" s="188" t="s">
        <v>276</v>
      </c>
      <c r="C29" s="189"/>
      <c r="D29" s="189"/>
      <c r="E29" s="189"/>
      <c r="F29" s="189"/>
      <c r="G29" s="189"/>
      <c r="H29" s="189"/>
      <c r="I29" s="190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2">SUMIF($G$19:$G$43,E44,$F$19:$F$43)</f>
        <v>0</v>
      </c>
      <c r="G44" s="70" t="s">
        <v>129</v>
      </c>
      <c r="H44" s="71">
        <f>SUMIF($G$19:$G$43,G44,$F$19:$F$43)</f>
        <v>0</v>
      </c>
      <c r="I44" s="70" t="s">
        <v>107</v>
      </c>
      <c r="J44" s="71">
        <f>SUMIF($G$19:$G$43,I44,$F$19:$F$43)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64">
        <v>3.65</v>
      </c>
      <c r="C45" s="35">
        <v>236</v>
      </c>
      <c r="D45" s="35">
        <f t="shared" ref="D45:D46" si="3">SUM(C45*B45)</f>
        <v>861.4</v>
      </c>
      <c r="E45" s="64" t="s">
        <v>120</v>
      </c>
      <c r="F45" s="35">
        <f t="shared" si="2"/>
        <v>0</v>
      </c>
      <c r="G45" s="64" t="s">
        <v>130</v>
      </c>
      <c r="H45" s="35">
        <f>SUMIF($G$19:$G$43,G45,$F$19:$F$43)</f>
        <v>137.4</v>
      </c>
      <c r="I45" s="64" t="s">
        <v>127</v>
      </c>
      <c r="J45" s="35">
        <f>SUMIF($G$19:$G$43,I45,$F$19:$F$43)</f>
        <v>0.25</v>
      </c>
      <c r="O45" s="62"/>
    </row>
    <row r="46" spans="1:21" ht="17.100000000000001" customHeight="1" x14ac:dyDescent="0.25">
      <c r="A46" s="64" t="s">
        <v>268</v>
      </c>
      <c r="B46" s="64">
        <v>3.65</v>
      </c>
      <c r="C46" s="35">
        <v>16</v>
      </c>
      <c r="D46" s="35">
        <f t="shared" si="3"/>
        <v>58.4</v>
      </c>
      <c r="E46" s="64" t="s">
        <v>121</v>
      </c>
      <c r="F46" s="35">
        <f t="shared" si="2"/>
        <v>0</v>
      </c>
      <c r="G46" s="64" t="s">
        <v>125</v>
      </c>
      <c r="H46" s="35">
        <f>SUMIF($G$19:$G$43,G46,$F$19:$F$43)</f>
        <v>0</v>
      </c>
      <c r="I46" s="64" t="s">
        <v>156</v>
      </c>
      <c r="J46" s="35">
        <f>SUMIF($G$19:$G$43,I46,$F$19:$F$43)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2"/>
        <v>0</v>
      </c>
      <c r="G47" s="64" t="s">
        <v>126</v>
      </c>
      <c r="H47" s="35">
        <f>SUMIF($G$19:$G$43,G47,$F$19:$F$43)</f>
        <v>0</v>
      </c>
      <c r="I47" s="64" t="s">
        <v>128</v>
      </c>
      <c r="J47" s="35">
        <f>SUMIF($G$19:$G$43,I47,$F$19:$F$43)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252</v>
      </c>
      <c r="D49" s="35">
        <f>SUM(D45:D47)</f>
        <v>919.8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H16:H17"/>
    <mergeCell ref="I16:I17"/>
    <mergeCell ref="J16:J17"/>
    <mergeCell ref="G63:J63"/>
    <mergeCell ref="G64:J64"/>
    <mergeCell ref="G16:G17"/>
    <mergeCell ref="B23:I23"/>
    <mergeCell ref="B29:I29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18:G20 G22 G24:G28 G30:G43" xr:uid="{D2634B71-4064-4DDE-93E7-A97AC461E544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9154-9A8B-4D26-8CBD-78586FF5A4FA}">
  <sheetPr>
    <pageSetUpPr fitToPage="1"/>
  </sheetPr>
  <dimension ref="A1:W83"/>
  <sheetViews>
    <sheetView topLeftCell="A26" zoomScaleNormal="100" workbookViewId="0">
      <selection activeCell="A27" sqref="A27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3.2187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173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176</v>
      </c>
      <c r="M9">
        <v>4060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177</v>
      </c>
      <c r="M10">
        <v>4850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395</v>
      </c>
      <c r="G11" s="143"/>
      <c r="H11" s="178"/>
      <c r="I11" s="180" t="s">
        <v>322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353</v>
      </c>
      <c r="H14" s="79" t="s">
        <v>355</v>
      </c>
      <c r="I14" s="177" t="s">
        <v>246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354</v>
      </c>
      <c r="H15" s="79" t="s">
        <v>356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72">
        <v>0</v>
      </c>
      <c r="C18" s="72">
        <v>790</v>
      </c>
      <c r="D18" s="72">
        <f>C18-B18</f>
        <v>790</v>
      </c>
      <c r="E18" s="35">
        <v>7.3</v>
      </c>
      <c r="F18" s="35">
        <f t="shared" ref="F18:F42" si="0">E18*D18</f>
        <v>5767</v>
      </c>
      <c r="G18" s="89" t="s">
        <v>110</v>
      </c>
      <c r="H18" s="35"/>
      <c r="I18" s="35" t="s">
        <v>105</v>
      </c>
      <c r="J18" s="64">
        <v>27</v>
      </c>
      <c r="K18" s="81">
        <f>B18-4060</f>
        <v>-4060</v>
      </c>
      <c r="L18" s="81">
        <f>C18-4060</f>
        <v>-3270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21</v>
      </c>
      <c r="C19" s="80">
        <v>22</v>
      </c>
      <c r="D19" s="72">
        <v>1</v>
      </c>
      <c r="E19" s="35">
        <v>0.5</v>
      </c>
      <c r="F19" s="35">
        <f t="shared" si="0"/>
        <v>0.5</v>
      </c>
      <c r="G19" s="89" t="s">
        <v>120</v>
      </c>
      <c r="H19" s="89">
        <v>2</v>
      </c>
      <c r="I19" s="64" t="s">
        <v>102</v>
      </c>
      <c r="J19" s="64">
        <v>28</v>
      </c>
      <c r="K19" s="81">
        <f t="shared" ref="K19:L43" si="1">B19-4060</f>
        <v>-4039</v>
      </c>
      <c r="L19" s="81">
        <f t="shared" si="1"/>
        <v>-4038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22</v>
      </c>
      <c r="C20" s="80"/>
      <c r="D20" s="90">
        <v>0.5</v>
      </c>
      <c r="E20" s="35">
        <v>0.5</v>
      </c>
      <c r="F20" s="35">
        <f t="shared" si="0"/>
        <v>0.25</v>
      </c>
      <c r="G20" s="89" t="s">
        <v>148</v>
      </c>
      <c r="H20" s="89"/>
      <c r="I20" s="64" t="s">
        <v>102</v>
      </c>
      <c r="J20" s="64"/>
      <c r="K20" s="81">
        <f t="shared" si="1"/>
        <v>-4038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268</v>
      </c>
      <c r="B21" s="80">
        <v>45</v>
      </c>
      <c r="C21" s="80"/>
      <c r="D21" s="90">
        <v>0.5</v>
      </c>
      <c r="E21" s="35">
        <v>1</v>
      </c>
      <c r="F21" s="35">
        <f t="shared" si="0"/>
        <v>0.5</v>
      </c>
      <c r="G21" s="89" t="s">
        <v>280</v>
      </c>
      <c r="H21" s="89"/>
      <c r="I21" s="64" t="s">
        <v>102</v>
      </c>
      <c r="J21" s="64"/>
      <c r="K21" s="81">
        <f t="shared" si="1"/>
        <v>-4015</v>
      </c>
      <c r="L21" s="81"/>
      <c r="O21" s="60"/>
      <c r="R21" s="59"/>
    </row>
    <row r="22" spans="1:18" ht="17.100000000000001" customHeight="1" x14ac:dyDescent="0.25">
      <c r="A22" s="78" t="s">
        <v>21</v>
      </c>
      <c r="B22" s="80">
        <v>108</v>
      </c>
      <c r="C22" s="80"/>
      <c r="D22" s="90">
        <v>0.5</v>
      </c>
      <c r="E22" s="35">
        <v>0.5</v>
      </c>
      <c r="F22" s="35">
        <f t="shared" si="0"/>
        <v>0.25</v>
      </c>
      <c r="G22" s="89" t="s">
        <v>148</v>
      </c>
      <c r="H22" s="89"/>
      <c r="I22" s="64" t="s">
        <v>102</v>
      </c>
      <c r="J22" s="64"/>
      <c r="K22" s="81">
        <f t="shared" si="1"/>
        <v>-3952</v>
      </c>
      <c r="L22" s="81"/>
      <c r="O22" s="60" t="s">
        <v>122</v>
      </c>
      <c r="R22" s="58" t="s">
        <v>99</v>
      </c>
    </row>
    <row r="23" spans="1:18" ht="17.100000000000001" customHeight="1" x14ac:dyDescent="0.25">
      <c r="A23" s="78" t="s">
        <v>21</v>
      </c>
      <c r="B23" s="80">
        <v>126</v>
      </c>
      <c r="C23" s="80">
        <v>149</v>
      </c>
      <c r="D23" s="72">
        <f>C23-B23</f>
        <v>23</v>
      </c>
      <c r="E23" s="35">
        <v>1</v>
      </c>
      <c r="F23" s="35">
        <f t="shared" si="0"/>
        <v>23</v>
      </c>
      <c r="G23" s="89" t="s">
        <v>122</v>
      </c>
      <c r="H23" s="89">
        <v>2</v>
      </c>
      <c r="I23" s="64" t="s">
        <v>102</v>
      </c>
      <c r="J23" s="64">
        <v>29</v>
      </c>
      <c r="K23" s="81">
        <f t="shared" si="1"/>
        <v>-3934</v>
      </c>
      <c r="L23" s="81">
        <f t="shared" si="1"/>
        <v>-3911</v>
      </c>
      <c r="O23" s="60" t="s">
        <v>123</v>
      </c>
      <c r="R23" s="58" t="s">
        <v>100</v>
      </c>
    </row>
    <row r="24" spans="1:18" ht="17.100000000000001" customHeight="1" x14ac:dyDescent="0.25">
      <c r="A24" s="78" t="s">
        <v>21</v>
      </c>
      <c r="B24" s="80">
        <v>182</v>
      </c>
      <c r="C24" s="80">
        <v>255</v>
      </c>
      <c r="D24" s="72">
        <f>C24-B24</f>
        <v>73</v>
      </c>
      <c r="E24" s="35">
        <v>0.5</v>
      </c>
      <c r="F24" s="35">
        <f t="shared" si="0"/>
        <v>36.5</v>
      </c>
      <c r="G24" s="89" t="s">
        <v>120</v>
      </c>
      <c r="H24" s="89">
        <v>2</v>
      </c>
      <c r="I24" s="64" t="s">
        <v>102</v>
      </c>
      <c r="J24" s="64">
        <v>30</v>
      </c>
      <c r="K24" s="81">
        <f t="shared" si="1"/>
        <v>-3878</v>
      </c>
      <c r="L24" s="81">
        <f t="shared" si="1"/>
        <v>-3805</v>
      </c>
      <c r="O24" s="60" t="s">
        <v>124</v>
      </c>
      <c r="R24" s="58" t="s">
        <v>101</v>
      </c>
    </row>
    <row r="25" spans="1:18" ht="17.100000000000001" customHeight="1" x14ac:dyDescent="0.25">
      <c r="A25" s="78" t="s">
        <v>21</v>
      </c>
      <c r="B25" s="80">
        <v>186</v>
      </c>
      <c r="C25" s="80"/>
      <c r="D25" s="90">
        <v>0.5</v>
      </c>
      <c r="E25" s="35">
        <v>0.5</v>
      </c>
      <c r="F25" s="35">
        <f t="shared" si="0"/>
        <v>0.25</v>
      </c>
      <c r="G25" s="89" t="s">
        <v>130</v>
      </c>
      <c r="H25" s="89">
        <v>2</v>
      </c>
      <c r="I25" s="64" t="s">
        <v>102</v>
      </c>
      <c r="J25" s="64">
        <v>30</v>
      </c>
      <c r="K25" s="81">
        <f t="shared" si="1"/>
        <v>-3874</v>
      </c>
      <c r="L25" s="81"/>
      <c r="M25" s="1"/>
      <c r="O25" s="60" t="s">
        <v>129</v>
      </c>
      <c r="R25" s="58" t="s">
        <v>102</v>
      </c>
    </row>
    <row r="26" spans="1:18" ht="17.100000000000001" customHeight="1" x14ac:dyDescent="0.25">
      <c r="A26" s="78" t="s">
        <v>268</v>
      </c>
      <c r="B26" s="80">
        <v>220</v>
      </c>
      <c r="C26" s="80">
        <v>223</v>
      </c>
      <c r="D26" s="72">
        <f>C26-B26</f>
        <v>3</v>
      </c>
      <c r="E26" s="35">
        <v>0.5</v>
      </c>
      <c r="F26" s="35">
        <f t="shared" si="0"/>
        <v>1.5</v>
      </c>
      <c r="G26" s="89" t="s">
        <v>120</v>
      </c>
      <c r="H26" s="89">
        <v>2</v>
      </c>
      <c r="I26" s="64" t="s">
        <v>102</v>
      </c>
      <c r="J26" s="64">
        <v>31</v>
      </c>
      <c r="K26" s="81">
        <f t="shared" si="1"/>
        <v>-3840</v>
      </c>
      <c r="L26" s="81">
        <f t="shared" si="1"/>
        <v>-3837</v>
      </c>
      <c r="M26" s="1"/>
      <c r="O26" s="60"/>
      <c r="R26" s="58"/>
    </row>
    <row r="27" spans="1:18" ht="17.100000000000001" customHeight="1" x14ac:dyDescent="0.25">
      <c r="A27" s="78" t="s">
        <v>268</v>
      </c>
      <c r="B27" s="80">
        <v>240</v>
      </c>
      <c r="C27" s="80"/>
      <c r="D27" s="90">
        <v>0.5</v>
      </c>
      <c r="E27" s="35">
        <v>0.5</v>
      </c>
      <c r="F27" s="35">
        <f t="shared" si="0"/>
        <v>0.25</v>
      </c>
      <c r="G27" s="89" t="s">
        <v>148</v>
      </c>
      <c r="H27" s="89"/>
      <c r="I27" s="64" t="s">
        <v>102</v>
      </c>
      <c r="J27" s="64"/>
      <c r="K27" s="81">
        <f t="shared" si="1"/>
        <v>-3820</v>
      </c>
      <c r="L27" s="81"/>
      <c r="M27" s="1"/>
      <c r="O27" s="60"/>
      <c r="R27" s="58"/>
    </row>
    <row r="28" spans="1:18" ht="17.100000000000001" customHeight="1" x14ac:dyDescent="0.25">
      <c r="A28" s="78" t="s">
        <v>21</v>
      </c>
      <c r="B28" s="80">
        <v>257</v>
      </c>
      <c r="C28" s="80">
        <v>261</v>
      </c>
      <c r="D28" s="72">
        <v>4</v>
      </c>
      <c r="E28" s="35">
        <v>1.5</v>
      </c>
      <c r="F28" s="35">
        <f t="shared" si="0"/>
        <v>6</v>
      </c>
      <c r="G28" s="89" t="s">
        <v>155</v>
      </c>
      <c r="H28" s="89">
        <v>1</v>
      </c>
      <c r="I28" s="64" t="s">
        <v>102</v>
      </c>
      <c r="J28" s="64"/>
      <c r="K28" s="81">
        <f t="shared" si="1"/>
        <v>-3803</v>
      </c>
      <c r="L28" s="81">
        <f t="shared" si="1"/>
        <v>-3799</v>
      </c>
      <c r="O28" s="60" t="s">
        <v>130</v>
      </c>
      <c r="R28" s="58" t="s">
        <v>103</v>
      </c>
    </row>
    <row r="29" spans="1:18" ht="17.100000000000001" customHeight="1" x14ac:dyDescent="0.25">
      <c r="A29" s="78" t="s">
        <v>267</v>
      </c>
      <c r="B29" s="80">
        <v>258</v>
      </c>
      <c r="C29" s="80"/>
      <c r="D29" s="90">
        <v>0.5</v>
      </c>
      <c r="E29" s="35">
        <v>7.3</v>
      </c>
      <c r="F29" s="35">
        <f t="shared" si="0"/>
        <v>3.65</v>
      </c>
      <c r="G29" s="89" t="s">
        <v>126</v>
      </c>
      <c r="H29" s="89">
        <v>2</v>
      </c>
      <c r="I29" s="64" t="s">
        <v>105</v>
      </c>
      <c r="J29" s="64">
        <v>32</v>
      </c>
      <c r="K29" s="81">
        <f t="shared" si="1"/>
        <v>-3802</v>
      </c>
      <c r="L29" s="81"/>
      <c r="O29" s="60"/>
      <c r="R29" s="58"/>
    </row>
    <row r="30" spans="1:18" ht="17.100000000000001" customHeight="1" x14ac:dyDescent="0.25">
      <c r="A30" s="78" t="s">
        <v>21</v>
      </c>
      <c r="B30" s="80">
        <v>261</v>
      </c>
      <c r="C30" s="80"/>
      <c r="D30" s="90">
        <v>0.5</v>
      </c>
      <c r="E30" s="35">
        <v>0.5</v>
      </c>
      <c r="F30" s="35">
        <f t="shared" si="0"/>
        <v>0.25</v>
      </c>
      <c r="G30" s="89" t="s">
        <v>148</v>
      </c>
      <c r="H30" s="89"/>
      <c r="I30" s="64" t="s">
        <v>102</v>
      </c>
      <c r="J30" s="64"/>
      <c r="K30" s="81">
        <f t="shared" si="1"/>
        <v>-3799</v>
      </c>
      <c r="L30" s="81"/>
      <c r="O30" s="60" t="s">
        <v>125</v>
      </c>
      <c r="R30" s="58" t="s">
        <v>104</v>
      </c>
    </row>
    <row r="31" spans="1:18" ht="17.100000000000001" customHeight="1" x14ac:dyDescent="0.25">
      <c r="A31" s="78" t="s">
        <v>268</v>
      </c>
      <c r="B31" s="80">
        <v>261</v>
      </c>
      <c r="C31" s="80"/>
      <c r="D31" s="90">
        <v>0.5</v>
      </c>
      <c r="E31" s="35">
        <v>0.5</v>
      </c>
      <c r="F31" s="35">
        <f t="shared" si="0"/>
        <v>0.25</v>
      </c>
      <c r="G31" s="89" t="s">
        <v>148</v>
      </c>
      <c r="H31" s="89"/>
      <c r="I31" s="64" t="s">
        <v>102</v>
      </c>
      <c r="J31" s="64"/>
      <c r="K31" s="81">
        <f t="shared" si="1"/>
        <v>-3799</v>
      </c>
      <c r="L31" s="81"/>
      <c r="O31" s="60"/>
      <c r="R31" s="58"/>
    </row>
    <row r="32" spans="1:18" ht="17.100000000000001" customHeight="1" x14ac:dyDescent="0.25">
      <c r="A32" s="78" t="s">
        <v>21</v>
      </c>
      <c r="B32" s="80">
        <v>285</v>
      </c>
      <c r="C32" s="80">
        <v>286</v>
      </c>
      <c r="D32" s="72">
        <v>1</v>
      </c>
      <c r="E32" s="35">
        <v>1</v>
      </c>
      <c r="F32" s="35">
        <f t="shared" si="0"/>
        <v>1</v>
      </c>
      <c r="G32" s="89" t="s">
        <v>155</v>
      </c>
      <c r="H32" s="89">
        <v>1</v>
      </c>
      <c r="I32" s="64" t="s">
        <v>99</v>
      </c>
      <c r="J32" s="64"/>
      <c r="K32" s="81">
        <f t="shared" si="1"/>
        <v>-3775</v>
      </c>
      <c r="L32" s="81">
        <f t="shared" si="1"/>
        <v>-3774</v>
      </c>
      <c r="O32" s="60" t="s">
        <v>126</v>
      </c>
      <c r="R32" s="58" t="s">
        <v>99</v>
      </c>
    </row>
    <row r="33" spans="1:21" ht="17.100000000000001" customHeight="1" x14ac:dyDescent="0.25">
      <c r="A33" s="78" t="s">
        <v>21</v>
      </c>
      <c r="B33" s="80">
        <v>285</v>
      </c>
      <c r="C33" s="80"/>
      <c r="D33" s="90">
        <v>0.5</v>
      </c>
      <c r="E33" s="35">
        <v>1</v>
      </c>
      <c r="F33" s="35">
        <f t="shared" si="0"/>
        <v>0.5</v>
      </c>
      <c r="G33" s="89" t="s">
        <v>125</v>
      </c>
      <c r="H33" s="89">
        <v>1</v>
      </c>
      <c r="I33" s="64" t="s">
        <v>99</v>
      </c>
      <c r="J33" s="64">
        <v>33</v>
      </c>
      <c r="K33" s="81">
        <f t="shared" si="1"/>
        <v>-3775</v>
      </c>
      <c r="L33" s="81"/>
      <c r="O33" s="60" t="s">
        <v>107</v>
      </c>
      <c r="R33" s="58" t="s">
        <v>105</v>
      </c>
    </row>
    <row r="34" spans="1:21" ht="17.100000000000001" customHeight="1" x14ac:dyDescent="0.25">
      <c r="A34" s="78" t="s">
        <v>21</v>
      </c>
      <c r="B34" s="80">
        <v>286</v>
      </c>
      <c r="C34" s="80"/>
      <c r="D34" s="90">
        <v>0.5</v>
      </c>
      <c r="E34" s="35">
        <v>1</v>
      </c>
      <c r="F34" s="35">
        <f t="shared" si="0"/>
        <v>0.5</v>
      </c>
      <c r="G34" s="89" t="s">
        <v>125</v>
      </c>
      <c r="H34" s="89">
        <v>1</v>
      </c>
      <c r="I34" s="64" t="s">
        <v>99</v>
      </c>
      <c r="J34" s="64">
        <v>33</v>
      </c>
      <c r="K34" s="81">
        <f t="shared" si="1"/>
        <v>-3774</v>
      </c>
      <c r="L34" s="81"/>
      <c r="O34" s="60" t="s">
        <v>127</v>
      </c>
    </row>
    <row r="35" spans="1:21" ht="17.100000000000001" customHeight="1" x14ac:dyDescent="0.25">
      <c r="A35" s="78" t="s">
        <v>21</v>
      </c>
      <c r="B35" s="80">
        <v>286</v>
      </c>
      <c r="C35" s="80"/>
      <c r="D35" s="90">
        <v>0.5</v>
      </c>
      <c r="E35" s="35">
        <v>0.5</v>
      </c>
      <c r="F35" s="35">
        <f t="shared" si="0"/>
        <v>0.25</v>
      </c>
      <c r="G35" s="89" t="s">
        <v>148</v>
      </c>
      <c r="H35" s="89"/>
      <c r="I35" s="64" t="s">
        <v>102</v>
      </c>
      <c r="J35" s="64"/>
      <c r="K35" s="81">
        <f t="shared" si="1"/>
        <v>-3774</v>
      </c>
      <c r="L35" s="81"/>
      <c r="O35" s="60" t="s">
        <v>156</v>
      </c>
    </row>
    <row r="36" spans="1:21" ht="17.100000000000001" customHeight="1" x14ac:dyDescent="0.25">
      <c r="A36" s="78" t="s">
        <v>21</v>
      </c>
      <c r="B36" s="80">
        <v>298</v>
      </c>
      <c r="C36" s="80"/>
      <c r="D36" s="90">
        <v>0.5</v>
      </c>
      <c r="E36" s="35">
        <v>0.5</v>
      </c>
      <c r="F36" s="35">
        <f t="shared" ref="F36" si="2">E36*D36</f>
        <v>0.25</v>
      </c>
      <c r="G36" s="89" t="s">
        <v>148</v>
      </c>
      <c r="H36" s="89"/>
      <c r="I36" s="64" t="s">
        <v>102</v>
      </c>
      <c r="J36" s="64"/>
      <c r="K36" s="81">
        <f t="shared" si="1"/>
        <v>-3762</v>
      </c>
      <c r="L36" s="81"/>
      <c r="O36" s="61" t="s">
        <v>128</v>
      </c>
    </row>
    <row r="37" spans="1:21" ht="17.100000000000001" customHeight="1" x14ac:dyDescent="0.25">
      <c r="A37" s="78" t="s">
        <v>268</v>
      </c>
      <c r="B37" s="80">
        <v>298</v>
      </c>
      <c r="C37" s="80"/>
      <c r="D37" s="90">
        <v>0.5</v>
      </c>
      <c r="E37" s="35">
        <v>0.5</v>
      </c>
      <c r="F37" s="35">
        <f t="shared" ref="F37" si="3">E37*D37</f>
        <v>0.25</v>
      </c>
      <c r="G37" s="89" t="s">
        <v>148</v>
      </c>
      <c r="H37" s="89"/>
      <c r="I37" s="64" t="s">
        <v>102</v>
      </c>
      <c r="J37" s="64"/>
      <c r="K37" s="81">
        <f t="shared" si="1"/>
        <v>-3762</v>
      </c>
      <c r="L37" s="81"/>
      <c r="O37" s="61"/>
    </row>
    <row r="38" spans="1:21" ht="17.100000000000001" customHeight="1" x14ac:dyDescent="0.25">
      <c r="A38" s="78" t="s">
        <v>21</v>
      </c>
      <c r="B38" s="80">
        <v>307</v>
      </c>
      <c r="C38" s="80">
        <v>309</v>
      </c>
      <c r="D38" s="72">
        <f>C38-B38</f>
        <v>2</v>
      </c>
      <c r="E38" s="35">
        <v>0.5</v>
      </c>
      <c r="F38" s="35">
        <f t="shared" si="0"/>
        <v>1</v>
      </c>
      <c r="G38" s="89" t="s">
        <v>120</v>
      </c>
      <c r="H38" s="89">
        <v>2</v>
      </c>
      <c r="I38" s="64" t="s">
        <v>102</v>
      </c>
      <c r="J38" s="64">
        <v>34</v>
      </c>
      <c r="K38" s="81">
        <f t="shared" si="1"/>
        <v>-3753</v>
      </c>
      <c r="L38" s="81">
        <f t="shared" si="1"/>
        <v>-3751</v>
      </c>
      <c r="O38" s="63" t="s">
        <v>155</v>
      </c>
    </row>
    <row r="39" spans="1:21" ht="17.100000000000001" customHeight="1" x14ac:dyDescent="0.25">
      <c r="A39" s="78" t="s">
        <v>21</v>
      </c>
      <c r="B39" s="80">
        <v>315</v>
      </c>
      <c r="C39" s="80">
        <v>323</v>
      </c>
      <c r="D39" s="72">
        <f>C39-B39</f>
        <v>8</v>
      </c>
      <c r="E39" s="35">
        <v>1</v>
      </c>
      <c r="F39" s="35">
        <f t="shared" si="0"/>
        <v>8</v>
      </c>
      <c r="G39" s="89" t="s">
        <v>122</v>
      </c>
      <c r="H39" s="89">
        <v>2</v>
      </c>
      <c r="I39" s="64" t="s">
        <v>102</v>
      </c>
      <c r="J39" s="64">
        <v>35</v>
      </c>
      <c r="K39" s="81">
        <f t="shared" si="1"/>
        <v>-3745</v>
      </c>
      <c r="L39" s="81">
        <f t="shared" si="1"/>
        <v>-3737</v>
      </c>
      <c r="O39" s="62" t="s">
        <v>150</v>
      </c>
    </row>
    <row r="40" spans="1:21" ht="17.100000000000001" customHeight="1" x14ac:dyDescent="0.25">
      <c r="A40" s="78" t="s">
        <v>21</v>
      </c>
      <c r="B40" s="80">
        <v>331</v>
      </c>
      <c r="C40" s="80">
        <v>332</v>
      </c>
      <c r="D40" s="72">
        <v>1</v>
      </c>
      <c r="E40" s="35">
        <v>1</v>
      </c>
      <c r="F40" s="35">
        <f t="shared" si="0"/>
        <v>1</v>
      </c>
      <c r="G40" s="89" t="s">
        <v>156</v>
      </c>
      <c r="H40" s="89" t="s">
        <v>278</v>
      </c>
      <c r="I40" s="64" t="s">
        <v>102</v>
      </c>
      <c r="J40" s="64">
        <v>36</v>
      </c>
      <c r="K40" s="81">
        <f t="shared" si="1"/>
        <v>-3729</v>
      </c>
      <c r="L40" s="81">
        <f t="shared" si="1"/>
        <v>-3728</v>
      </c>
      <c r="O40" s="62" t="s">
        <v>107</v>
      </c>
    </row>
    <row r="41" spans="1:21" ht="17.100000000000001" customHeight="1" x14ac:dyDescent="0.25">
      <c r="A41" s="78" t="s">
        <v>21</v>
      </c>
      <c r="B41" s="80">
        <v>332</v>
      </c>
      <c r="C41" s="80">
        <v>334</v>
      </c>
      <c r="D41" s="72">
        <v>1</v>
      </c>
      <c r="E41" s="35">
        <v>1.5</v>
      </c>
      <c r="F41" s="35">
        <f t="shared" si="0"/>
        <v>1.5</v>
      </c>
      <c r="G41" s="89" t="s">
        <v>155</v>
      </c>
      <c r="H41" s="89">
        <v>1</v>
      </c>
      <c r="I41" s="64" t="s">
        <v>102</v>
      </c>
      <c r="J41" s="64"/>
      <c r="K41" s="81">
        <f t="shared" si="1"/>
        <v>-3728</v>
      </c>
      <c r="L41" s="81">
        <f t="shared" si="1"/>
        <v>-3726</v>
      </c>
      <c r="O41" s="62" t="s">
        <v>112</v>
      </c>
    </row>
    <row r="42" spans="1:21" ht="17.100000000000001" customHeight="1" x14ac:dyDescent="0.25">
      <c r="A42" s="78" t="s">
        <v>21</v>
      </c>
      <c r="B42" s="80">
        <v>356</v>
      </c>
      <c r="C42" s="80"/>
      <c r="D42" s="90">
        <v>0.5</v>
      </c>
      <c r="E42" s="35">
        <v>0.5</v>
      </c>
      <c r="F42" s="35">
        <f t="shared" si="0"/>
        <v>0.25</v>
      </c>
      <c r="G42" s="89" t="s">
        <v>155</v>
      </c>
      <c r="H42" s="89">
        <v>1</v>
      </c>
      <c r="I42" s="64" t="s">
        <v>102</v>
      </c>
      <c r="J42" s="64"/>
      <c r="K42" s="81">
        <f t="shared" si="1"/>
        <v>-3704</v>
      </c>
      <c r="L42" s="81"/>
      <c r="O42" s="62" t="s">
        <v>148</v>
      </c>
    </row>
    <row r="43" spans="1:21" ht="17.100000000000001" customHeight="1" thickBot="1" x14ac:dyDescent="0.3">
      <c r="A43" s="68" t="s">
        <v>268</v>
      </c>
      <c r="B43" s="84">
        <v>361</v>
      </c>
      <c r="C43" s="84"/>
      <c r="D43" s="103">
        <v>0.5</v>
      </c>
      <c r="E43" s="55">
        <v>0.5</v>
      </c>
      <c r="F43" s="55">
        <f t="shared" ref="F43" si="4">E43*D43</f>
        <v>0.25</v>
      </c>
      <c r="G43" s="102" t="s">
        <v>148</v>
      </c>
      <c r="H43" s="102"/>
      <c r="I43" s="69" t="s">
        <v>102</v>
      </c>
      <c r="J43" s="69"/>
      <c r="K43" s="81">
        <f t="shared" si="1"/>
        <v>-3699</v>
      </c>
      <c r="L43" s="81"/>
      <c r="O43" s="62"/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5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K44" s="81"/>
      <c r="L44" s="81"/>
      <c r="O44" s="62"/>
    </row>
    <row r="45" spans="1:21" ht="17.100000000000001" customHeight="1" x14ac:dyDescent="0.25">
      <c r="A45" s="64" t="s">
        <v>21</v>
      </c>
      <c r="B45" s="64">
        <v>3.65</v>
      </c>
      <c r="C45" s="35">
        <v>361</v>
      </c>
      <c r="D45" s="35">
        <f t="shared" ref="D45" si="6">SUM(C45*B45)</f>
        <v>1317.6499999999999</v>
      </c>
      <c r="E45" s="64" t="s">
        <v>120</v>
      </c>
      <c r="F45" s="35">
        <f t="shared" si="5"/>
        <v>39.5</v>
      </c>
      <c r="G45" s="64" t="s">
        <v>130</v>
      </c>
      <c r="H45" s="35">
        <f>SUMIF($G$18:$G$43,G45,$F$18:$F$43)</f>
        <v>0.25</v>
      </c>
      <c r="I45" s="64" t="s">
        <v>127</v>
      </c>
      <c r="J45" s="35">
        <f>SUMIF($G$18:$G$43,I45,$F$18:$F$43)</f>
        <v>0</v>
      </c>
      <c r="K45" s="81"/>
      <c r="L45" s="81"/>
      <c r="M45" s="6"/>
      <c r="N45" s="6"/>
      <c r="O45" s="62" t="s">
        <v>108</v>
      </c>
      <c r="P45" s="6"/>
      <c r="Q45" s="6"/>
      <c r="R45" s="6"/>
      <c r="S45" s="27"/>
      <c r="T45" s="5"/>
      <c r="U45" s="5"/>
    </row>
    <row r="46" spans="1:21" ht="17.100000000000001" customHeight="1" x14ac:dyDescent="0.25">
      <c r="A46" s="64" t="s">
        <v>268</v>
      </c>
      <c r="B46" s="64">
        <v>3.65</v>
      </c>
      <c r="C46" s="35">
        <v>361</v>
      </c>
      <c r="D46" s="35">
        <f t="shared" ref="D46" si="7">SUM(C46*B46)</f>
        <v>1317.6499999999999</v>
      </c>
      <c r="E46" s="64" t="s">
        <v>121</v>
      </c>
      <c r="F46" s="35">
        <f t="shared" si="5"/>
        <v>0</v>
      </c>
      <c r="G46" s="64" t="s">
        <v>125</v>
      </c>
      <c r="H46" s="35">
        <f>SUMIF($G$18:$G$43,G46,$F$18:$F$43)</f>
        <v>1</v>
      </c>
      <c r="I46" s="64" t="s">
        <v>156</v>
      </c>
      <c r="J46" s="35">
        <f>SUMIF($G$18:$G$43,I46,$F$18:$F$43)</f>
        <v>1</v>
      </c>
      <c r="K46" s="81"/>
      <c r="L46" s="81"/>
      <c r="M46" s="6"/>
      <c r="N46" s="6"/>
      <c r="O46" s="62"/>
      <c r="P46" s="6"/>
      <c r="Q46" s="6"/>
      <c r="R46" s="6"/>
      <c r="S46" s="27"/>
      <c r="T46" s="5"/>
      <c r="U46" s="5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5"/>
        <v>31</v>
      </c>
      <c r="G47" s="64" t="s">
        <v>126</v>
      </c>
      <c r="H47" s="35">
        <f>SUMIF($G$18:$G$43,G47,$F$18:$F$43)</f>
        <v>3.65</v>
      </c>
      <c r="I47" s="64" t="s">
        <v>128</v>
      </c>
      <c r="J47" s="35">
        <f>SUMIF($G$18:$G$43,I47,$F$18:$F$43)</f>
        <v>0</v>
      </c>
      <c r="K47" s="81"/>
      <c r="L47" s="81"/>
      <c r="O47" s="62" t="s">
        <v>151</v>
      </c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5"/>
        <v>0</v>
      </c>
      <c r="G48" s="64"/>
      <c r="H48" s="64"/>
      <c r="I48" s="64"/>
      <c r="J48" s="64"/>
      <c r="K48" s="81"/>
      <c r="L48" s="81"/>
      <c r="M48" s="57"/>
      <c r="N48" s="5"/>
      <c r="O48" s="62" t="s">
        <v>149</v>
      </c>
      <c r="P48" s="5"/>
      <c r="Q48" s="5"/>
      <c r="R48" s="5"/>
      <c r="S48" s="5"/>
      <c r="T48" s="5"/>
      <c r="U48" s="27"/>
    </row>
    <row r="49" spans="1:17" ht="17.100000000000001" customHeight="1" x14ac:dyDescent="0.25">
      <c r="A49" s="64" t="s">
        <v>70</v>
      </c>
      <c r="B49" s="64">
        <v>3.65</v>
      </c>
      <c r="C49" s="35">
        <f>SUM(C45:C47)</f>
        <v>722</v>
      </c>
      <c r="D49" s="35">
        <f>SUM(D45:D47)</f>
        <v>2635.2999999999997</v>
      </c>
      <c r="E49" s="64" t="s">
        <v>124</v>
      </c>
      <c r="F49" s="35">
        <f t="shared" si="5"/>
        <v>0</v>
      </c>
      <c r="G49" s="64"/>
      <c r="H49" s="64"/>
      <c r="I49" s="64"/>
      <c r="J49" s="64"/>
      <c r="K49" s="81"/>
      <c r="L49" s="81"/>
      <c r="O49" s="62" t="s">
        <v>109</v>
      </c>
    </row>
    <row r="50" spans="1:17" ht="17.100000000000001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  <c r="K50" s="81"/>
      <c r="L50" s="81"/>
      <c r="O50" s="62"/>
    </row>
    <row r="51" spans="1:17" ht="17.100000000000001" customHeight="1" thickTop="1" x14ac:dyDescent="0.25">
      <c r="A51" s="74" t="s">
        <v>13</v>
      </c>
      <c r="D51" s="57"/>
      <c r="G51" s="57"/>
      <c r="J51" s="19"/>
      <c r="K51" s="81"/>
      <c r="L51" s="81"/>
      <c r="O51" s="62" t="s">
        <v>152</v>
      </c>
      <c r="P51" s="5"/>
      <c r="Q51" s="5"/>
    </row>
    <row r="52" spans="1:17" ht="17.100000000000001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  <c r="K52" s="81"/>
      <c r="L52" s="81"/>
      <c r="O52" s="62" t="s">
        <v>106</v>
      </c>
    </row>
    <row r="53" spans="1:17" ht="17.100000000000001" customHeight="1" x14ac:dyDescent="0.25">
      <c r="A53" s="26" t="s">
        <v>140</v>
      </c>
      <c r="C53" s="5"/>
      <c r="I53" s="5"/>
      <c r="J53" s="25"/>
      <c r="K53" s="81"/>
      <c r="L53" s="81"/>
      <c r="O53" s="62"/>
    </row>
    <row r="54" spans="1:17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  <c r="K54" s="81"/>
      <c r="L54" s="81"/>
      <c r="O54" s="62"/>
    </row>
    <row r="55" spans="1:17" ht="16.95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  <c r="K55" s="81"/>
      <c r="L55" s="81"/>
      <c r="O55" s="62" t="s">
        <v>110</v>
      </c>
    </row>
    <row r="56" spans="1:17" ht="17.100000000000001" customHeight="1" x14ac:dyDescent="0.25">
      <c r="A56" s="24" t="s">
        <v>141</v>
      </c>
      <c r="B56" s="5"/>
      <c r="C56" s="5"/>
      <c r="J56" s="19"/>
      <c r="O56" s="62" t="s">
        <v>111</v>
      </c>
    </row>
    <row r="57" spans="1:17" ht="17.100000000000001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  <c r="O57" s="62"/>
    </row>
    <row r="58" spans="1:17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  <c r="O58" s="62"/>
    </row>
    <row r="59" spans="1:17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  <c r="O59" s="62"/>
    </row>
    <row r="60" spans="1:17" ht="17.100000000000001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  <c r="O60" s="62"/>
    </row>
    <row r="61" spans="1:17" ht="17.100000000000001" customHeight="1" x14ac:dyDescent="0.25">
      <c r="A61" s="24" t="s">
        <v>144</v>
      </c>
      <c r="J61" s="19"/>
      <c r="O61" s="62"/>
    </row>
    <row r="62" spans="1:17" ht="16.5" customHeight="1" x14ac:dyDescent="0.25">
      <c r="A62" s="26" t="s">
        <v>153</v>
      </c>
      <c r="J62" s="19"/>
    </row>
    <row r="63" spans="1:17" ht="16.5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7" ht="16.5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6.5" customHeight="1" x14ac:dyDescent="0.25"/>
    <row r="69" ht="16.5" customHeight="1" x14ac:dyDescent="0.25"/>
    <row r="70" ht="17.100000000000001" customHeight="1" x14ac:dyDescent="0.25"/>
    <row r="71" ht="17.100000000000001" customHeight="1" x14ac:dyDescent="0.25"/>
    <row r="72" ht="16.5" customHeight="1" x14ac:dyDescent="0.25"/>
    <row r="73" ht="16.5" customHeight="1" x14ac:dyDescent="0.25"/>
    <row r="74" ht="16.5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</sheetData>
  <mergeCells count="34">
    <mergeCell ref="H16:H17"/>
    <mergeCell ref="I16:I17"/>
    <mergeCell ref="J16:J17"/>
    <mergeCell ref="G63:J63"/>
    <mergeCell ref="G64:J64"/>
    <mergeCell ref="G16:G17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G18:G20 G22:G43" xr:uid="{E0A7DB87-1764-4EF4-ACF2-9EAEFF7136D1}">
      <formula1>$O$17:$O$60</formula1>
    </dataValidation>
    <dataValidation type="list" allowBlank="1" showInputMessage="1" showErrorMessage="1" sqref="H19:H39 H41:H43" xr:uid="{C666997C-24CD-4562-BD78-A353FC0FFFBC}">
      <formula1>$R$17:$R$24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9273-F123-418B-A77B-DA1326ABBB2A}">
  <sheetPr>
    <pageSetUpPr fitToPage="1"/>
  </sheetPr>
  <dimension ref="A1:W71"/>
  <sheetViews>
    <sheetView topLeftCell="A16" zoomScaleNormal="100" workbookViewId="0">
      <selection activeCell="F19" sqref="F19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173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158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176</v>
      </c>
      <c r="M9">
        <v>4060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177</v>
      </c>
      <c r="M10">
        <v>4850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395</v>
      </c>
      <c r="G11" s="143"/>
      <c r="H11" s="178"/>
      <c r="I11" s="180" t="s">
        <v>323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353</v>
      </c>
      <c r="H14" s="79" t="s">
        <v>277</v>
      </c>
      <c r="I14" s="177" t="s">
        <v>246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354</v>
      </c>
      <c r="H15" s="79" t="s">
        <v>178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268</v>
      </c>
      <c r="B18" s="80">
        <v>361</v>
      </c>
      <c r="C18" s="80">
        <v>362</v>
      </c>
      <c r="D18" s="72">
        <v>1</v>
      </c>
      <c r="E18" s="35">
        <v>1</v>
      </c>
      <c r="F18" s="35">
        <f t="shared" ref="F18:F29" si="0">E18*D18</f>
        <v>1</v>
      </c>
      <c r="G18" s="89" t="s">
        <v>155</v>
      </c>
      <c r="H18" s="89">
        <v>1</v>
      </c>
      <c r="I18" s="64" t="s">
        <v>102</v>
      </c>
      <c r="J18" s="64"/>
      <c r="K18" s="81">
        <f>B18-4060</f>
        <v>-3699</v>
      </c>
      <c r="L18" s="81">
        <f>C18-4060</f>
        <v>-3698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362</v>
      </c>
      <c r="C19" s="80"/>
      <c r="D19" s="90">
        <v>0.5</v>
      </c>
      <c r="E19" s="35">
        <v>0.5</v>
      </c>
      <c r="F19" s="35">
        <f t="shared" si="0"/>
        <v>0.25</v>
      </c>
      <c r="G19" s="89" t="s">
        <v>148</v>
      </c>
      <c r="H19" s="89"/>
      <c r="I19" s="64" t="s">
        <v>102</v>
      </c>
      <c r="J19" s="64"/>
      <c r="K19" s="81">
        <f t="shared" ref="K19:L41" si="1">B19-4060</f>
        <v>-3698</v>
      </c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268</v>
      </c>
      <c r="B20" s="80">
        <v>364</v>
      </c>
      <c r="C20" s="80">
        <v>365</v>
      </c>
      <c r="D20" s="72">
        <v>1</v>
      </c>
      <c r="E20" s="35">
        <v>1</v>
      </c>
      <c r="F20" s="35">
        <f t="shared" si="0"/>
        <v>1</v>
      </c>
      <c r="G20" s="89" t="s">
        <v>280</v>
      </c>
      <c r="H20" s="89"/>
      <c r="I20" s="64" t="s">
        <v>102</v>
      </c>
      <c r="J20" s="64"/>
      <c r="K20" s="81">
        <f t="shared" si="1"/>
        <v>-3696</v>
      </c>
      <c r="L20" s="81">
        <f t="shared" si="1"/>
        <v>-3695</v>
      </c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366</v>
      </c>
      <c r="C21" s="80">
        <v>367</v>
      </c>
      <c r="D21" s="72">
        <v>1</v>
      </c>
      <c r="E21" s="35">
        <v>3</v>
      </c>
      <c r="F21" s="35">
        <f t="shared" si="0"/>
        <v>3</v>
      </c>
      <c r="G21" s="89" t="s">
        <v>130</v>
      </c>
      <c r="H21" s="89">
        <v>2</v>
      </c>
      <c r="I21" s="64" t="s">
        <v>99</v>
      </c>
      <c r="J21" s="64">
        <v>37</v>
      </c>
      <c r="K21" s="81">
        <f t="shared" si="1"/>
        <v>-3694</v>
      </c>
      <c r="L21" s="81">
        <f t="shared" si="1"/>
        <v>-3693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</v>
      </c>
      <c r="B22" s="80">
        <v>373</v>
      </c>
      <c r="C22" s="80"/>
      <c r="D22" s="90">
        <v>0.5</v>
      </c>
      <c r="E22" s="35">
        <v>0.5</v>
      </c>
      <c r="F22" s="35">
        <f t="shared" si="0"/>
        <v>0.25</v>
      </c>
      <c r="G22" s="89" t="s">
        <v>155</v>
      </c>
      <c r="H22" s="89">
        <v>1</v>
      </c>
      <c r="I22" s="64" t="s">
        <v>99</v>
      </c>
      <c r="J22" s="64"/>
      <c r="K22" s="81">
        <f t="shared" si="1"/>
        <v>-3687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390</v>
      </c>
      <c r="C23" s="80"/>
      <c r="D23" s="90">
        <v>0.5</v>
      </c>
      <c r="E23" s="35">
        <v>0.5</v>
      </c>
      <c r="F23" s="35">
        <f t="shared" si="0"/>
        <v>0.25</v>
      </c>
      <c r="G23" s="89" t="s">
        <v>155</v>
      </c>
      <c r="H23" s="89">
        <v>1</v>
      </c>
      <c r="I23" s="64" t="s">
        <v>99</v>
      </c>
      <c r="J23" s="64"/>
      <c r="K23" s="81">
        <f t="shared" si="1"/>
        <v>-3670</v>
      </c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268</v>
      </c>
      <c r="B24" s="80">
        <v>418</v>
      </c>
      <c r="C24" s="80"/>
      <c r="D24" s="90">
        <v>0.5</v>
      </c>
      <c r="E24" s="35">
        <v>0.5</v>
      </c>
      <c r="F24" s="35">
        <f t="shared" si="0"/>
        <v>0.25</v>
      </c>
      <c r="G24" s="89" t="s">
        <v>148</v>
      </c>
      <c r="H24" s="89"/>
      <c r="I24" s="64" t="s">
        <v>102</v>
      </c>
      <c r="J24" s="64"/>
      <c r="K24" s="81">
        <f t="shared" si="1"/>
        <v>-3642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419</v>
      </c>
      <c r="C25" s="80"/>
      <c r="D25" s="90">
        <v>0.5</v>
      </c>
      <c r="E25" s="35">
        <v>0.5</v>
      </c>
      <c r="F25" s="35">
        <f t="shared" si="0"/>
        <v>0.25</v>
      </c>
      <c r="G25" s="89" t="s">
        <v>148</v>
      </c>
      <c r="H25" s="89" t="s">
        <v>279</v>
      </c>
      <c r="I25" s="64" t="s">
        <v>102</v>
      </c>
      <c r="J25" s="64">
        <v>38</v>
      </c>
      <c r="K25" s="81">
        <f t="shared" si="1"/>
        <v>-3641</v>
      </c>
      <c r="L25" s="81"/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446</v>
      </c>
      <c r="C26" s="80">
        <v>448</v>
      </c>
      <c r="D26" s="72">
        <v>2</v>
      </c>
      <c r="E26" s="35">
        <v>1</v>
      </c>
      <c r="F26" s="35">
        <f t="shared" si="0"/>
        <v>2</v>
      </c>
      <c r="G26" s="89" t="s">
        <v>122</v>
      </c>
      <c r="H26" s="89">
        <v>2</v>
      </c>
      <c r="I26" s="64" t="s">
        <v>102</v>
      </c>
      <c r="J26" s="64">
        <v>39</v>
      </c>
      <c r="K26" s="81">
        <f t="shared" si="1"/>
        <v>-3614</v>
      </c>
      <c r="L26" s="81">
        <f t="shared" si="1"/>
        <v>-3612</v>
      </c>
      <c r="O26" s="60" t="s">
        <v>125</v>
      </c>
      <c r="R26" s="58" t="s">
        <v>104</v>
      </c>
    </row>
    <row r="27" spans="1:18" ht="17.100000000000001" customHeight="1" x14ac:dyDescent="0.25">
      <c r="A27" s="78" t="s">
        <v>268</v>
      </c>
      <c r="B27" s="104">
        <v>479</v>
      </c>
      <c r="C27" s="104"/>
      <c r="D27" s="90">
        <v>0.5</v>
      </c>
      <c r="E27" s="35">
        <v>3.65</v>
      </c>
      <c r="F27" s="35">
        <f t="shared" si="0"/>
        <v>1.825</v>
      </c>
      <c r="G27" s="89" t="s">
        <v>123</v>
      </c>
      <c r="H27" s="89">
        <v>1</v>
      </c>
      <c r="I27" s="64" t="s">
        <v>105</v>
      </c>
      <c r="J27" s="64">
        <v>40</v>
      </c>
      <c r="K27" s="81">
        <f t="shared" si="1"/>
        <v>-3581</v>
      </c>
      <c r="L27" s="81"/>
      <c r="O27" s="60" t="s">
        <v>126</v>
      </c>
      <c r="R27" s="58" t="s">
        <v>99</v>
      </c>
    </row>
    <row r="28" spans="1:18" ht="17.100000000000001" customHeight="1" x14ac:dyDescent="0.25">
      <c r="A28" s="78" t="s">
        <v>268</v>
      </c>
      <c r="B28" s="104">
        <v>482</v>
      </c>
      <c r="C28" s="104"/>
      <c r="D28" s="90">
        <v>0.5</v>
      </c>
      <c r="E28" s="35">
        <v>0.5</v>
      </c>
      <c r="F28" s="35">
        <f t="shared" si="0"/>
        <v>0.25</v>
      </c>
      <c r="G28" s="89" t="s">
        <v>148</v>
      </c>
      <c r="H28" s="89"/>
      <c r="I28" s="64" t="s">
        <v>102</v>
      </c>
      <c r="J28" s="64"/>
      <c r="K28" s="81">
        <f t="shared" si="1"/>
        <v>-3578</v>
      </c>
      <c r="L28" s="81"/>
      <c r="O28" s="60" t="s">
        <v>107</v>
      </c>
      <c r="R28" s="58" t="s">
        <v>105</v>
      </c>
    </row>
    <row r="29" spans="1:18" ht="17.100000000000001" customHeight="1" x14ac:dyDescent="0.25">
      <c r="A29" s="78" t="s">
        <v>21</v>
      </c>
      <c r="B29" s="80">
        <v>483</v>
      </c>
      <c r="C29" s="80"/>
      <c r="D29" s="90">
        <v>0.5</v>
      </c>
      <c r="E29" s="35">
        <v>0.5</v>
      </c>
      <c r="F29" s="35">
        <f t="shared" si="0"/>
        <v>0.25</v>
      </c>
      <c r="G29" s="89" t="s">
        <v>148</v>
      </c>
      <c r="H29" s="89"/>
      <c r="I29" s="64" t="s">
        <v>102</v>
      </c>
      <c r="J29" s="64"/>
      <c r="K29" s="81">
        <f t="shared" si="1"/>
        <v>-3577</v>
      </c>
      <c r="L29" s="81"/>
      <c r="O29" s="60" t="s">
        <v>127</v>
      </c>
    </row>
    <row r="30" spans="1:18" ht="17.100000000000001" customHeight="1" x14ac:dyDescent="0.25">
      <c r="A30" s="78" t="s">
        <v>21</v>
      </c>
      <c r="B30" s="72">
        <v>524</v>
      </c>
      <c r="C30" s="72"/>
      <c r="D30" s="90">
        <v>0.5</v>
      </c>
      <c r="E30" s="35">
        <v>0.5</v>
      </c>
      <c r="F30" s="35">
        <f t="shared" ref="F30:F41" si="2">E30*D30</f>
        <v>0.25</v>
      </c>
      <c r="G30" s="89" t="s">
        <v>148</v>
      </c>
      <c r="H30" s="35"/>
      <c r="I30" s="35" t="s">
        <v>102</v>
      </c>
      <c r="J30" s="64"/>
      <c r="K30" s="81">
        <f t="shared" si="1"/>
        <v>-3536</v>
      </c>
      <c r="L30" s="81"/>
      <c r="O30" s="60" t="s">
        <v>156</v>
      </c>
    </row>
    <row r="31" spans="1:18" ht="17.100000000000001" customHeight="1" x14ac:dyDescent="0.25">
      <c r="A31" s="78" t="s">
        <v>268</v>
      </c>
      <c r="B31" s="80">
        <v>530</v>
      </c>
      <c r="C31" s="80"/>
      <c r="D31" s="90">
        <v>0.5</v>
      </c>
      <c r="E31" s="35">
        <v>0.5</v>
      </c>
      <c r="F31" s="35">
        <f>E31*D31</f>
        <v>0.25</v>
      </c>
      <c r="G31" s="89" t="s">
        <v>148</v>
      </c>
      <c r="H31" s="89"/>
      <c r="I31" s="64" t="s">
        <v>102</v>
      </c>
      <c r="J31" s="64"/>
      <c r="K31" s="81">
        <f t="shared" si="1"/>
        <v>-3530</v>
      </c>
      <c r="L31" s="81"/>
      <c r="O31" s="61" t="s">
        <v>128</v>
      </c>
    </row>
    <row r="32" spans="1:18" ht="17.100000000000001" customHeight="1" x14ac:dyDescent="0.25">
      <c r="A32" s="78" t="s">
        <v>21</v>
      </c>
      <c r="B32" s="80">
        <v>556</v>
      </c>
      <c r="C32" s="80"/>
      <c r="D32" s="90">
        <v>0.5</v>
      </c>
      <c r="E32" s="35">
        <v>0.5</v>
      </c>
      <c r="F32" s="35">
        <f t="shared" si="2"/>
        <v>0.25</v>
      </c>
      <c r="G32" s="89" t="s">
        <v>125</v>
      </c>
      <c r="H32" s="89">
        <v>1</v>
      </c>
      <c r="I32" s="64" t="s">
        <v>102</v>
      </c>
      <c r="J32" s="64">
        <v>41</v>
      </c>
      <c r="K32" s="81">
        <f t="shared" si="1"/>
        <v>-3504</v>
      </c>
      <c r="L32" s="81"/>
      <c r="O32" s="63" t="s">
        <v>155</v>
      </c>
    </row>
    <row r="33" spans="1:21" ht="17.100000000000001" customHeight="1" x14ac:dyDescent="0.25">
      <c r="A33" s="78" t="s">
        <v>21</v>
      </c>
      <c r="B33" s="80">
        <v>623</v>
      </c>
      <c r="C33" s="80"/>
      <c r="D33" s="90">
        <v>0.5</v>
      </c>
      <c r="E33" s="35">
        <v>0.5</v>
      </c>
      <c r="F33" s="35">
        <f t="shared" si="2"/>
        <v>0.25</v>
      </c>
      <c r="G33" s="89" t="s">
        <v>148</v>
      </c>
      <c r="H33" s="89"/>
      <c r="I33" s="64" t="s">
        <v>102</v>
      </c>
      <c r="J33" s="64"/>
      <c r="K33" s="81">
        <f t="shared" si="1"/>
        <v>-3437</v>
      </c>
      <c r="L33" s="81"/>
      <c r="O33" s="62" t="s">
        <v>150</v>
      </c>
    </row>
    <row r="34" spans="1:21" ht="17.100000000000001" customHeight="1" x14ac:dyDescent="0.25">
      <c r="A34" s="78" t="s">
        <v>268</v>
      </c>
      <c r="B34" s="80">
        <v>623</v>
      </c>
      <c r="C34" s="80"/>
      <c r="D34" s="90">
        <v>0.5</v>
      </c>
      <c r="E34" s="35">
        <v>0.5</v>
      </c>
      <c r="F34" s="35">
        <f t="shared" ref="F34" si="3">E34*D34</f>
        <v>0.25</v>
      </c>
      <c r="G34" s="89" t="s">
        <v>148</v>
      </c>
      <c r="H34" s="89"/>
      <c r="I34" s="64" t="s">
        <v>102</v>
      </c>
      <c r="J34" s="64"/>
      <c r="K34" s="81">
        <f t="shared" si="1"/>
        <v>-3437</v>
      </c>
      <c r="L34" s="81"/>
      <c r="O34" s="62" t="s">
        <v>107</v>
      </c>
    </row>
    <row r="35" spans="1:21" ht="17.100000000000001" customHeight="1" x14ac:dyDescent="0.25">
      <c r="A35" s="78" t="s">
        <v>21</v>
      </c>
      <c r="B35" s="80">
        <v>623</v>
      </c>
      <c r="C35" s="80">
        <v>630</v>
      </c>
      <c r="D35" s="72">
        <f>C35-B35</f>
        <v>7</v>
      </c>
      <c r="E35" s="35">
        <v>0.5</v>
      </c>
      <c r="F35" s="35">
        <f t="shared" si="2"/>
        <v>3.5</v>
      </c>
      <c r="G35" s="89" t="s">
        <v>120</v>
      </c>
      <c r="H35" s="89">
        <v>2</v>
      </c>
      <c r="I35" s="64" t="s">
        <v>102</v>
      </c>
      <c r="J35" s="64">
        <v>42</v>
      </c>
      <c r="K35" s="81">
        <f t="shared" si="1"/>
        <v>-3437</v>
      </c>
      <c r="L35" s="81">
        <f t="shared" si="1"/>
        <v>-3430</v>
      </c>
      <c r="O35" s="62" t="s">
        <v>112</v>
      </c>
    </row>
    <row r="36" spans="1:21" ht="17.100000000000001" customHeight="1" x14ac:dyDescent="0.25">
      <c r="A36" s="78" t="s">
        <v>21</v>
      </c>
      <c r="B36" s="80">
        <v>654</v>
      </c>
      <c r="C36" s="80"/>
      <c r="D36" s="90">
        <v>0.5</v>
      </c>
      <c r="E36" s="35">
        <v>0.5</v>
      </c>
      <c r="F36" s="35">
        <f t="shared" si="2"/>
        <v>0.25</v>
      </c>
      <c r="G36" s="89" t="s">
        <v>148</v>
      </c>
      <c r="H36" s="89"/>
      <c r="I36" s="64" t="s">
        <v>102</v>
      </c>
      <c r="J36" s="64"/>
      <c r="K36" s="81">
        <f t="shared" si="1"/>
        <v>-3406</v>
      </c>
      <c r="L36" s="81"/>
      <c r="O36" s="62" t="s">
        <v>148</v>
      </c>
    </row>
    <row r="37" spans="1:21" ht="17.100000000000001" customHeight="1" x14ac:dyDescent="0.25">
      <c r="A37" s="78" t="s">
        <v>268</v>
      </c>
      <c r="B37" s="80">
        <v>654</v>
      </c>
      <c r="C37" s="80"/>
      <c r="D37" s="90">
        <v>0.5</v>
      </c>
      <c r="E37" s="35">
        <v>0.5</v>
      </c>
      <c r="F37" s="35">
        <f t="shared" ref="F37" si="4">E37*D37</f>
        <v>0.25</v>
      </c>
      <c r="G37" s="89" t="s">
        <v>148</v>
      </c>
      <c r="H37" s="89"/>
      <c r="I37" s="64" t="s">
        <v>102</v>
      </c>
      <c r="J37" s="64"/>
      <c r="K37" s="81">
        <f t="shared" si="1"/>
        <v>-3406</v>
      </c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 t="s">
        <v>21</v>
      </c>
      <c r="B38" s="80">
        <v>699</v>
      </c>
      <c r="C38" s="80"/>
      <c r="D38" s="90">
        <v>0.5</v>
      </c>
      <c r="E38" s="35">
        <v>3</v>
      </c>
      <c r="F38" s="35">
        <f t="shared" si="2"/>
        <v>1.5</v>
      </c>
      <c r="G38" s="89" t="s">
        <v>155</v>
      </c>
      <c r="H38" s="89">
        <v>1</v>
      </c>
      <c r="I38" s="64" t="s">
        <v>102</v>
      </c>
      <c r="J38" s="64"/>
      <c r="K38" s="81">
        <f t="shared" si="1"/>
        <v>-3361</v>
      </c>
      <c r="L38" s="81"/>
      <c r="O38" s="62" t="s">
        <v>151</v>
      </c>
    </row>
    <row r="39" spans="1:21" ht="17.100000000000001" customHeight="1" x14ac:dyDescent="0.25">
      <c r="A39" s="78" t="s">
        <v>21</v>
      </c>
      <c r="B39" s="80">
        <v>705</v>
      </c>
      <c r="C39" s="80"/>
      <c r="D39" s="90">
        <v>0.5</v>
      </c>
      <c r="E39" s="35">
        <v>0.5</v>
      </c>
      <c r="F39" s="35">
        <f t="shared" si="2"/>
        <v>0.25</v>
      </c>
      <c r="G39" s="89" t="s">
        <v>148</v>
      </c>
      <c r="H39" s="89"/>
      <c r="I39" s="64" t="s">
        <v>102</v>
      </c>
      <c r="J39" s="64"/>
      <c r="K39" s="81">
        <f t="shared" si="1"/>
        <v>-3355</v>
      </c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 t="s">
        <v>21</v>
      </c>
      <c r="B40" s="80">
        <v>725</v>
      </c>
      <c r="C40" s="80">
        <v>735</v>
      </c>
      <c r="D40" s="72">
        <f>C40-B40</f>
        <v>10</v>
      </c>
      <c r="E40" s="35">
        <v>1</v>
      </c>
      <c r="F40" s="35">
        <f t="shared" si="2"/>
        <v>10</v>
      </c>
      <c r="G40" s="89" t="s">
        <v>130</v>
      </c>
      <c r="H40" s="89">
        <v>2</v>
      </c>
      <c r="I40" s="64" t="s">
        <v>102</v>
      </c>
      <c r="J40" s="64">
        <v>43</v>
      </c>
      <c r="K40" s="81">
        <f t="shared" si="1"/>
        <v>-3335</v>
      </c>
      <c r="L40" s="81">
        <f t="shared" si="1"/>
        <v>-3325</v>
      </c>
      <c r="O40" s="62" t="s">
        <v>109</v>
      </c>
    </row>
    <row r="41" spans="1:21" ht="17.100000000000001" customHeight="1" x14ac:dyDescent="0.25">
      <c r="A41" s="78" t="s">
        <v>21</v>
      </c>
      <c r="B41" s="80">
        <v>777</v>
      </c>
      <c r="C41" s="80"/>
      <c r="D41" s="90">
        <v>0.5</v>
      </c>
      <c r="E41" s="35">
        <v>0.5</v>
      </c>
      <c r="F41" s="35">
        <f t="shared" si="2"/>
        <v>0.25</v>
      </c>
      <c r="G41" s="89" t="s">
        <v>148</v>
      </c>
      <c r="H41" s="89"/>
      <c r="I41" s="64" t="s">
        <v>102</v>
      </c>
      <c r="J41" s="64"/>
      <c r="K41" s="81">
        <f t="shared" si="1"/>
        <v>-3283</v>
      </c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193" t="s">
        <v>281</v>
      </c>
      <c r="C42" s="194"/>
      <c r="D42" s="194"/>
      <c r="E42" s="194"/>
      <c r="F42" s="194"/>
      <c r="G42" s="194"/>
      <c r="H42" s="194"/>
      <c r="I42" s="195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103"/>
      <c r="E43" s="55"/>
      <c r="F43" s="55"/>
      <c r="G43" s="102"/>
      <c r="H43" s="102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5">SUMIF($G$30:$G$43,E44,$F$30:$F$43)</f>
        <v>0</v>
      </c>
      <c r="G44" s="70" t="s">
        <v>129</v>
      </c>
      <c r="H44" s="71">
        <f>SUMIF($G$30:$G$43,G44,$F$30:$F$43)</f>
        <v>0</v>
      </c>
      <c r="I44" s="70" t="s">
        <v>107</v>
      </c>
      <c r="J44" s="71">
        <f>SUMIF($G$30:$G$43,I44,$F$30:$F$43)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64">
        <v>3.65</v>
      </c>
      <c r="C45" s="35">
        <v>429</v>
      </c>
      <c r="D45" s="35">
        <f t="shared" ref="D45:D46" si="6">SUM(C45*B45)</f>
        <v>1565.85</v>
      </c>
      <c r="E45" s="64" t="s">
        <v>120</v>
      </c>
      <c r="F45" s="35">
        <f t="shared" si="5"/>
        <v>3.5</v>
      </c>
      <c r="G45" s="64" t="s">
        <v>130</v>
      </c>
      <c r="H45" s="35">
        <f>SUMIF($G$30:$G$43,G45,$F$30:$F$43)</f>
        <v>10</v>
      </c>
      <c r="I45" s="64" t="s">
        <v>127</v>
      </c>
      <c r="J45" s="35">
        <f>SUMIF($G$30:$G$43,I45,$F$30:$F$43)</f>
        <v>0</v>
      </c>
      <c r="O45" s="62"/>
    </row>
    <row r="46" spans="1:21" ht="17.100000000000001" customHeight="1" x14ac:dyDescent="0.25">
      <c r="A46" s="64" t="s">
        <v>268</v>
      </c>
      <c r="B46" s="64">
        <v>3.65</v>
      </c>
      <c r="C46" s="35">
        <v>429</v>
      </c>
      <c r="D46" s="35">
        <f t="shared" si="6"/>
        <v>1565.85</v>
      </c>
      <c r="E46" s="64" t="s">
        <v>121</v>
      </c>
      <c r="F46" s="35">
        <f t="shared" si="5"/>
        <v>0</v>
      </c>
      <c r="G46" s="64" t="s">
        <v>125</v>
      </c>
      <c r="H46" s="35">
        <f>SUMIF($G$30:$G$43,G46,$F$30:$F$43)</f>
        <v>0.25</v>
      </c>
      <c r="I46" s="64" t="s">
        <v>156</v>
      </c>
      <c r="J46" s="35">
        <f>SUMIF($G$30:$G$43,I46,$F$30:$F$43)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5"/>
        <v>0</v>
      </c>
      <c r="G47" s="64" t="s">
        <v>126</v>
      </c>
      <c r="H47" s="35">
        <f>SUMIF($G$30:$G$43,G47,$F$30:$F$43)</f>
        <v>0</v>
      </c>
      <c r="I47" s="64" t="s">
        <v>128</v>
      </c>
      <c r="J47" s="35">
        <f>SUMIF($G$30:$G$43,I47,$F$30:$F$43)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5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858</v>
      </c>
      <c r="D49" s="35">
        <f>SUM(D45:D47)</f>
        <v>3131.7</v>
      </c>
      <c r="E49" s="64" t="s">
        <v>124</v>
      </c>
      <c r="F49" s="35">
        <f t="shared" si="5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B42:I42"/>
    <mergeCell ref="G16:G17"/>
  </mergeCells>
  <dataValidations count="4">
    <dataValidation type="list" allowBlank="1" showInputMessage="1" showErrorMessage="1" sqref="H43 H31:H41" xr:uid="{7F2B8C1F-8D3C-4172-8533-3BB8F059703D}">
      <formula1>$R$17:$R$23</formula1>
    </dataValidation>
    <dataValidation type="list" allowBlank="1" showInputMessage="1" showErrorMessage="1" sqref="G43 G30:G41" xr:uid="{EB93605C-402A-4DF0-830D-7C42C5A37707}">
      <formula1>$O$17:$O$48</formula1>
    </dataValidation>
    <dataValidation type="list" allowBlank="1" showInputMessage="1" showErrorMessage="1" sqref="H18:H24 H26:H29" xr:uid="{23CDA937-9B1F-4A4A-BE49-55BD076AA529}">
      <formula1>$R$17:$R$24</formula1>
    </dataValidation>
    <dataValidation type="list" allowBlank="1" showInputMessage="1" showErrorMessage="1" sqref="G21:G29 G18:G19" xr:uid="{A66D6178-16CA-4CD9-AED3-0DCD34C21A72}">
      <formula1>$O$17:$O$60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A16-D53A-4E47-8586-D53D9A42FFE5}">
  <sheetPr>
    <pageSetUpPr fitToPage="1"/>
  </sheetPr>
  <dimension ref="A1:W71"/>
  <sheetViews>
    <sheetView topLeftCell="A6" zoomScaleNormal="100" workbookViewId="0">
      <selection activeCell="L19" sqref="L19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  <c r="O4">
        <v>1614</v>
      </c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  <c r="O5">
        <v>1480</v>
      </c>
    </row>
    <row r="6" spans="1:23" ht="13.8" thickTop="1" x14ac:dyDescent="0.25">
      <c r="O6">
        <f>O4-O5</f>
        <v>134</v>
      </c>
    </row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173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159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179</v>
      </c>
      <c r="M9">
        <v>1482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180</v>
      </c>
      <c r="M10">
        <v>1605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394</v>
      </c>
      <c r="G11" s="143"/>
      <c r="H11" s="178"/>
      <c r="I11" s="180" t="s">
        <v>324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357</v>
      </c>
      <c r="H14" s="79" t="s">
        <v>359</v>
      </c>
      <c r="I14" s="177" t="s">
        <v>247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358</v>
      </c>
      <c r="H15" s="79" t="s">
        <v>360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80">
        <v>0</v>
      </c>
      <c r="C18" s="80">
        <v>123</v>
      </c>
      <c r="D18" s="72">
        <f>C18-B18</f>
        <v>123</v>
      </c>
      <c r="E18" s="35">
        <v>3</v>
      </c>
      <c r="F18" s="35">
        <f t="shared" ref="F18:F27" si="0">E18*D18</f>
        <v>369</v>
      </c>
      <c r="G18" s="89" t="s">
        <v>110</v>
      </c>
      <c r="H18" s="89"/>
      <c r="I18" s="64" t="s">
        <v>105</v>
      </c>
      <c r="J18" s="64">
        <v>44</v>
      </c>
      <c r="K18" s="81">
        <f>B18-1482</f>
        <v>-1482</v>
      </c>
      <c r="L18" s="81">
        <f>C18-1482</f>
        <v>-1359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80">
        <v>1</v>
      </c>
      <c r="C19" s="80"/>
      <c r="D19" s="90">
        <v>0.5</v>
      </c>
      <c r="E19" s="35">
        <v>3</v>
      </c>
      <c r="F19" s="35">
        <f t="shared" si="0"/>
        <v>1.5</v>
      </c>
      <c r="G19" s="89" t="s">
        <v>151</v>
      </c>
      <c r="H19" s="89"/>
      <c r="I19" s="64" t="s">
        <v>105</v>
      </c>
      <c r="J19" s="64"/>
      <c r="K19" s="81">
        <f t="shared" ref="K19:L27" si="1">B19-1482</f>
        <v>-1481</v>
      </c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5</v>
      </c>
      <c r="C20" s="80">
        <v>6</v>
      </c>
      <c r="D20" s="72">
        <v>1</v>
      </c>
      <c r="E20" s="35">
        <v>0.5</v>
      </c>
      <c r="F20" s="35">
        <f t="shared" si="0"/>
        <v>0.5</v>
      </c>
      <c r="G20" s="89" t="s">
        <v>120</v>
      </c>
      <c r="H20" s="89">
        <v>2</v>
      </c>
      <c r="I20" s="64" t="s">
        <v>99</v>
      </c>
      <c r="J20" s="64">
        <v>45</v>
      </c>
      <c r="K20" s="81">
        <f t="shared" si="1"/>
        <v>-1477</v>
      </c>
      <c r="L20" s="81">
        <f t="shared" si="1"/>
        <v>-1476</v>
      </c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7</v>
      </c>
      <c r="C21" s="80">
        <v>9</v>
      </c>
      <c r="D21" s="72">
        <v>2</v>
      </c>
      <c r="E21" s="35">
        <v>1</v>
      </c>
      <c r="F21" s="35">
        <f t="shared" si="0"/>
        <v>2</v>
      </c>
      <c r="G21" s="89" t="s">
        <v>122</v>
      </c>
      <c r="H21" s="89">
        <v>2</v>
      </c>
      <c r="I21" s="64" t="s">
        <v>102</v>
      </c>
      <c r="J21" s="64">
        <v>46</v>
      </c>
      <c r="K21" s="81">
        <f t="shared" si="1"/>
        <v>-1475</v>
      </c>
      <c r="L21" s="81">
        <f t="shared" si="1"/>
        <v>-1473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</v>
      </c>
      <c r="B22" s="80">
        <v>16</v>
      </c>
      <c r="C22" s="80">
        <v>20</v>
      </c>
      <c r="D22" s="72">
        <f>C22-B22</f>
        <v>4</v>
      </c>
      <c r="E22" s="35">
        <v>3</v>
      </c>
      <c r="F22" s="35">
        <f t="shared" si="0"/>
        <v>12</v>
      </c>
      <c r="G22" s="89" t="s">
        <v>130</v>
      </c>
      <c r="H22" s="89" t="s">
        <v>270</v>
      </c>
      <c r="I22" s="64" t="s">
        <v>105</v>
      </c>
      <c r="J22" s="64">
        <v>47</v>
      </c>
      <c r="K22" s="81">
        <f t="shared" si="1"/>
        <v>-1466</v>
      </c>
      <c r="L22" s="81">
        <f t="shared" si="1"/>
        <v>-1462</v>
      </c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16</v>
      </c>
      <c r="C23" s="80"/>
      <c r="D23" s="90">
        <v>0.5</v>
      </c>
      <c r="E23" s="35">
        <v>0.5</v>
      </c>
      <c r="F23" s="35">
        <f>E23*D23</f>
        <v>0.25</v>
      </c>
      <c r="G23" s="89" t="s">
        <v>127</v>
      </c>
      <c r="H23" s="89"/>
      <c r="I23" s="64" t="s">
        <v>103</v>
      </c>
      <c r="J23" s="64">
        <v>47</v>
      </c>
      <c r="K23" s="81">
        <f t="shared" si="1"/>
        <v>-1466</v>
      </c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44</v>
      </c>
      <c r="C24" s="80"/>
      <c r="D24" s="90">
        <v>0.5</v>
      </c>
      <c r="E24" s="35">
        <v>0.5</v>
      </c>
      <c r="F24" s="35">
        <f t="shared" si="0"/>
        <v>0.25</v>
      </c>
      <c r="G24" s="89" t="s">
        <v>119</v>
      </c>
      <c r="H24" s="89">
        <v>1</v>
      </c>
      <c r="I24" s="64" t="s">
        <v>102</v>
      </c>
      <c r="J24" s="64">
        <v>48</v>
      </c>
      <c r="K24" s="81">
        <f t="shared" si="1"/>
        <v>-1438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68</v>
      </c>
      <c r="C25" s="80">
        <v>70</v>
      </c>
      <c r="D25" s="72">
        <v>2</v>
      </c>
      <c r="E25" s="35">
        <v>0.5</v>
      </c>
      <c r="F25" s="35">
        <f t="shared" si="0"/>
        <v>1</v>
      </c>
      <c r="G25" s="89" t="s">
        <v>120</v>
      </c>
      <c r="H25" s="89">
        <v>2</v>
      </c>
      <c r="I25" s="64" t="s">
        <v>102</v>
      </c>
      <c r="J25" s="64">
        <v>49</v>
      </c>
      <c r="K25" s="81">
        <f t="shared" si="1"/>
        <v>-1414</v>
      </c>
      <c r="L25" s="81">
        <f t="shared" si="1"/>
        <v>-1412</v>
      </c>
      <c r="O25" s="60" t="s">
        <v>130</v>
      </c>
      <c r="R25" s="58" t="s">
        <v>103</v>
      </c>
    </row>
    <row r="26" spans="1:18" ht="17.100000000000001" customHeight="1" x14ac:dyDescent="0.25">
      <c r="A26" s="78" t="s">
        <v>21</v>
      </c>
      <c r="B26" s="80">
        <v>94</v>
      </c>
      <c r="C26" s="80">
        <v>95</v>
      </c>
      <c r="D26" s="72">
        <v>1</v>
      </c>
      <c r="E26" s="35">
        <v>0.5</v>
      </c>
      <c r="F26" s="35">
        <f t="shared" si="0"/>
        <v>0.5</v>
      </c>
      <c r="G26" s="89" t="s">
        <v>120</v>
      </c>
      <c r="H26" s="89">
        <v>2</v>
      </c>
      <c r="I26" s="64" t="s">
        <v>99</v>
      </c>
      <c r="J26" s="64">
        <v>50</v>
      </c>
      <c r="K26" s="81">
        <f t="shared" si="1"/>
        <v>-1388</v>
      </c>
      <c r="L26" s="81">
        <f t="shared" si="1"/>
        <v>-1387</v>
      </c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112</v>
      </c>
      <c r="C27" s="80">
        <v>120</v>
      </c>
      <c r="D27" s="72">
        <f>C27-B27</f>
        <v>8</v>
      </c>
      <c r="E27" s="35">
        <v>0.5</v>
      </c>
      <c r="F27" s="35">
        <f t="shared" si="0"/>
        <v>4</v>
      </c>
      <c r="G27" s="89" t="s">
        <v>120</v>
      </c>
      <c r="H27" s="89">
        <v>2</v>
      </c>
      <c r="I27" s="64" t="s">
        <v>99</v>
      </c>
      <c r="J27" s="64">
        <v>51</v>
      </c>
      <c r="K27" s="81">
        <f t="shared" si="1"/>
        <v>-1370</v>
      </c>
      <c r="L27" s="81">
        <f t="shared" si="1"/>
        <v>-1362</v>
      </c>
      <c r="O27" s="60" t="s">
        <v>126</v>
      </c>
      <c r="R27" s="58" t="s">
        <v>99</v>
      </c>
    </row>
    <row r="28" spans="1:18" ht="17.100000000000001" customHeight="1" x14ac:dyDescent="0.25">
      <c r="A28" s="78"/>
      <c r="B28" s="193" t="s">
        <v>282</v>
      </c>
      <c r="C28" s="194"/>
      <c r="D28" s="194"/>
      <c r="E28" s="194"/>
      <c r="F28" s="194"/>
      <c r="G28" s="194"/>
      <c r="H28" s="194"/>
      <c r="I28" s="195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8"/>
      <c r="C29" s="88"/>
      <c r="D29" s="88"/>
      <c r="E29" s="88"/>
      <c r="F29" s="88"/>
      <c r="G29" s="88"/>
      <c r="H29" s="88"/>
      <c r="I29" s="88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2">SUMIF($G$29:$G$43,E44,$F$29:$F$43)</f>
        <v>0</v>
      </c>
      <c r="G44" s="70" t="s">
        <v>129</v>
      </c>
      <c r="H44" s="71">
        <f>SUMIF($G$29:$G$43,G44,$F$29:$F$43)</f>
        <v>0</v>
      </c>
      <c r="I44" s="70" t="s">
        <v>107</v>
      </c>
      <c r="J44" s="71">
        <f>SUMIF($G$29:$G$43,I44,$F$29:$F$43)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123</v>
      </c>
      <c r="D45" s="35">
        <f t="shared" ref="D45" si="3">SUM(C45*B45)</f>
        <v>369</v>
      </c>
      <c r="E45" s="64" t="s">
        <v>120</v>
      </c>
      <c r="F45" s="35">
        <f t="shared" si="2"/>
        <v>0</v>
      </c>
      <c r="G45" s="64" t="s">
        <v>130</v>
      </c>
      <c r="H45" s="35">
        <f>SUMIF($G$29:$G$43,G45,$F$29:$F$43)</f>
        <v>0</v>
      </c>
      <c r="I45" s="64" t="s">
        <v>127</v>
      </c>
      <c r="J45" s="35">
        <f>SUMIF($G$29:$G$43,I45,$F$29:$F$43)</f>
        <v>0</v>
      </c>
      <c r="O45" s="62"/>
    </row>
    <row r="46" spans="1:21" ht="17.100000000000001" customHeight="1" x14ac:dyDescent="0.25">
      <c r="A46" s="64"/>
      <c r="B46" s="64"/>
      <c r="C46" s="35"/>
      <c r="D46" s="35"/>
      <c r="E46" s="64" t="s">
        <v>121</v>
      </c>
      <c r="F46" s="35">
        <f t="shared" si="2"/>
        <v>0</v>
      </c>
      <c r="G46" s="64" t="s">
        <v>125</v>
      </c>
      <c r="H46" s="35">
        <f>SUMIF($G$29:$G$43,G46,$F$29:$F$43)</f>
        <v>0</v>
      </c>
      <c r="I46" s="64" t="s">
        <v>156</v>
      </c>
      <c r="J46" s="35">
        <f>SUMIF($G$29:$G$43,I46,$F$29:$F$43)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2"/>
        <v>0</v>
      </c>
      <c r="G47" s="64" t="s">
        <v>126</v>
      </c>
      <c r="H47" s="35">
        <f>SUMIF($G$29:$G$43,G47,$F$29:$F$43)</f>
        <v>0</v>
      </c>
      <c r="I47" s="64" t="s">
        <v>128</v>
      </c>
      <c r="J47" s="35">
        <f>SUMIF($G$29:$G$43,I47,$F$29:$F$43)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123</v>
      </c>
      <c r="D49" s="35">
        <f>SUM(D45:D47)</f>
        <v>369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28:I28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30:G43 G18:G27" xr:uid="{AED724D7-0161-43CB-B945-B00EA3901B84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F369-0DB8-4B4F-ABD7-ADA6087B4961}">
  <sheetPr>
    <pageSetUpPr fitToPage="1"/>
  </sheetPr>
  <dimension ref="A1:W71"/>
  <sheetViews>
    <sheetView topLeftCell="A3" zoomScaleNormal="100" workbookViewId="0">
      <selection activeCell="M19" sqref="M19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173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160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  <c r="K9" t="s">
        <v>181</v>
      </c>
      <c r="M9">
        <v>3134</v>
      </c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182</v>
      </c>
      <c r="M10">
        <v>3259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185</v>
      </c>
      <c r="G11" s="143"/>
      <c r="H11" s="178"/>
      <c r="I11" s="180" t="s">
        <v>325</v>
      </c>
      <c r="J11" s="181"/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361</v>
      </c>
      <c r="H14" s="79" t="s">
        <v>183</v>
      </c>
      <c r="I14" s="177" t="s">
        <v>248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362</v>
      </c>
      <c r="H15" s="79" t="s">
        <v>184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21</v>
      </c>
      <c r="B18" s="72">
        <v>0</v>
      </c>
      <c r="C18" s="72">
        <v>125</v>
      </c>
      <c r="D18" s="72">
        <f>C18-B18</f>
        <v>125</v>
      </c>
      <c r="E18" s="35">
        <v>3</v>
      </c>
      <c r="F18" s="35">
        <f t="shared" ref="F18:F24" si="0">E18*D18</f>
        <v>375</v>
      </c>
      <c r="G18" s="89" t="s">
        <v>110</v>
      </c>
      <c r="H18" s="35"/>
      <c r="I18" s="35" t="s">
        <v>105</v>
      </c>
      <c r="J18" s="64">
        <v>52</v>
      </c>
      <c r="K18" s="81">
        <f>B18-3134</f>
        <v>-3134</v>
      </c>
      <c r="L18" s="81">
        <f>C18-3134</f>
        <v>-3009</v>
      </c>
      <c r="O18" s="60" t="s">
        <v>119</v>
      </c>
      <c r="R18" s="59">
        <v>1</v>
      </c>
    </row>
    <row r="19" spans="1:18" ht="17.100000000000001" customHeight="1" x14ac:dyDescent="0.25">
      <c r="A19" s="78" t="s">
        <v>268</v>
      </c>
      <c r="B19" s="80">
        <v>0</v>
      </c>
      <c r="C19" s="80">
        <v>33</v>
      </c>
      <c r="D19" s="72">
        <f>C19-B19</f>
        <v>33</v>
      </c>
      <c r="E19" s="35">
        <v>3</v>
      </c>
      <c r="F19" s="35">
        <f t="shared" si="0"/>
        <v>99</v>
      </c>
      <c r="G19" s="89" t="s">
        <v>110</v>
      </c>
      <c r="H19" s="83"/>
      <c r="I19" s="35" t="s">
        <v>105</v>
      </c>
      <c r="J19" s="64"/>
      <c r="K19" s="81">
        <f t="shared" ref="K19:L21" si="1">B19-3134</f>
        <v>-3134</v>
      </c>
      <c r="L19" s="81">
        <f t="shared" si="1"/>
        <v>-3101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1</v>
      </c>
      <c r="C20" s="80"/>
      <c r="D20" s="90">
        <v>0.5</v>
      </c>
      <c r="E20" s="35">
        <v>0.5</v>
      </c>
      <c r="F20" s="35">
        <f>E20*D20</f>
        <v>0.25</v>
      </c>
      <c r="G20" s="89" t="s">
        <v>130</v>
      </c>
      <c r="H20" s="89">
        <v>2</v>
      </c>
      <c r="I20" s="64" t="s">
        <v>103</v>
      </c>
      <c r="J20" s="64">
        <v>52</v>
      </c>
      <c r="K20" s="81">
        <f t="shared" si="1"/>
        <v>-3133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2</v>
      </c>
      <c r="C21" s="80"/>
      <c r="D21" s="90">
        <v>0.5</v>
      </c>
      <c r="E21" s="35">
        <v>0.5</v>
      </c>
      <c r="F21" s="35">
        <f>E21*D21</f>
        <v>0.25</v>
      </c>
      <c r="G21" s="89" t="s">
        <v>130</v>
      </c>
      <c r="H21" s="89">
        <v>2</v>
      </c>
      <c r="I21" s="64" t="s">
        <v>102</v>
      </c>
      <c r="J21" s="64">
        <v>52</v>
      </c>
      <c r="K21" s="81">
        <f t="shared" si="1"/>
        <v>-3132</v>
      </c>
      <c r="L21" s="81"/>
      <c r="O21" s="60" t="s">
        <v>122</v>
      </c>
      <c r="R21" s="58" t="s">
        <v>99</v>
      </c>
    </row>
    <row r="22" spans="1:18" ht="17.100000000000001" customHeight="1" x14ac:dyDescent="0.25">
      <c r="A22" s="78" t="s">
        <v>267</v>
      </c>
      <c r="B22" s="80">
        <v>7</v>
      </c>
      <c r="C22" s="80"/>
      <c r="D22" s="90">
        <v>0.5</v>
      </c>
      <c r="E22" s="35">
        <v>6</v>
      </c>
      <c r="F22" s="35">
        <f t="shared" ref="F22" si="2">E22*D22</f>
        <v>3</v>
      </c>
      <c r="G22" s="89" t="s">
        <v>151</v>
      </c>
      <c r="H22" s="89"/>
      <c r="I22" s="64" t="s">
        <v>105</v>
      </c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193" t="s">
        <v>313</v>
      </c>
      <c r="C23" s="194"/>
      <c r="D23" s="194"/>
      <c r="E23" s="194"/>
      <c r="F23" s="194"/>
      <c r="G23" s="194"/>
      <c r="H23" s="194"/>
      <c r="I23" s="195"/>
      <c r="J23" s="64"/>
      <c r="K23" s="81">
        <f>B24-3134</f>
        <v>-3059</v>
      </c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21</v>
      </c>
      <c r="B24" s="80">
        <v>75</v>
      </c>
      <c r="C24" s="80"/>
      <c r="D24" s="90">
        <v>0.5</v>
      </c>
      <c r="E24" s="35">
        <v>0.5</v>
      </c>
      <c r="F24" s="35">
        <f t="shared" si="0"/>
        <v>0.25</v>
      </c>
      <c r="G24" s="89" t="s">
        <v>148</v>
      </c>
      <c r="H24" s="89"/>
      <c r="I24" s="35" t="s">
        <v>102</v>
      </c>
      <c r="J24" s="64"/>
      <c r="K24" s="81">
        <f>B25-3134</f>
        <v>-3015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119</v>
      </c>
      <c r="C25" s="80"/>
      <c r="D25" s="90">
        <v>0.5</v>
      </c>
      <c r="E25" s="35">
        <v>0.5</v>
      </c>
      <c r="F25" s="35">
        <f t="shared" ref="F25" si="3">E25*D25</f>
        <v>0.25</v>
      </c>
      <c r="G25" s="89" t="s">
        <v>148</v>
      </c>
      <c r="H25" s="89"/>
      <c r="I25" s="64" t="s">
        <v>104</v>
      </c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193" t="s">
        <v>283</v>
      </c>
      <c r="C26" s="194"/>
      <c r="D26" s="194"/>
      <c r="E26" s="194"/>
      <c r="F26" s="194"/>
      <c r="G26" s="194"/>
      <c r="H26" s="194"/>
      <c r="I26" s="195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4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125</v>
      </c>
      <c r="D45" s="35">
        <f t="shared" ref="D45" si="5">SUM(C45*B45)</f>
        <v>375</v>
      </c>
      <c r="E45" s="64" t="s">
        <v>120</v>
      </c>
      <c r="F45" s="35">
        <f t="shared" si="4"/>
        <v>0</v>
      </c>
      <c r="G45" s="64" t="s">
        <v>130</v>
      </c>
      <c r="H45" s="35">
        <f>SUMIF($G$18:$G$43,G45,$F$18:$F$43)</f>
        <v>0.5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33</v>
      </c>
      <c r="D46" s="35">
        <f t="shared" ref="D46" si="6">SUM(C46*B46)</f>
        <v>99</v>
      </c>
      <c r="E46" s="64" t="s">
        <v>121</v>
      </c>
      <c r="F46" s="35">
        <f t="shared" si="4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4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4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158</v>
      </c>
      <c r="D49" s="35">
        <f>SUM(D45:D47)</f>
        <v>474</v>
      </c>
      <c r="E49" s="64" t="s">
        <v>124</v>
      </c>
      <c r="F49" s="35">
        <f t="shared" si="4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H16:H17"/>
    <mergeCell ref="I16:I17"/>
    <mergeCell ref="J16:J17"/>
    <mergeCell ref="G63:J63"/>
    <mergeCell ref="G64:J64"/>
    <mergeCell ref="G16:G17"/>
    <mergeCell ref="B23:I23"/>
    <mergeCell ref="B26:I26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2">
    <dataValidation type="list" allowBlank="1" showInputMessage="1" showErrorMessage="1" sqref="G18:G25 G27:G28 G29:G43" xr:uid="{01C25DE2-19A5-4523-99AD-35F8A0BE1570}">
      <formula1>$O$17:$O$48</formula1>
    </dataValidation>
    <dataValidation type="list" allowBlank="1" showInputMessage="1" showErrorMessage="1" sqref="H19:H25 H27:H28 H29:H43" xr:uid="{842AAB6C-754F-4976-A5FE-D16E5C0287AC}">
      <formula1>$R$17:$R$23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4E4-95DE-4447-AE02-38277CBB87DA}">
  <sheetPr>
    <pageSetUpPr fitToPage="1"/>
  </sheetPr>
  <dimension ref="A1:W71"/>
  <sheetViews>
    <sheetView topLeftCell="A5" zoomScaleNormal="100" workbookViewId="0">
      <selection activeCell="C24" sqref="A24:C24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13.109375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53" t="s">
        <v>3</v>
      </c>
      <c r="B3" s="154"/>
      <c r="C3" s="154"/>
      <c r="D3" s="154"/>
      <c r="E3" s="154"/>
      <c r="F3" s="154"/>
      <c r="G3" s="154"/>
      <c r="H3" s="154"/>
      <c r="I3" s="154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56" t="s">
        <v>4</v>
      </c>
      <c r="B7" s="156"/>
      <c r="C7" s="156"/>
      <c r="D7" s="156"/>
      <c r="E7" s="156"/>
      <c r="F7" s="65" t="s">
        <v>5</v>
      </c>
      <c r="G7" s="157" t="s">
        <v>6</v>
      </c>
      <c r="H7" s="158"/>
      <c r="I7" s="156" t="s">
        <v>7</v>
      </c>
      <c r="J7" s="159"/>
      <c r="K7" t="s">
        <v>173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42" t="s">
        <v>163</v>
      </c>
      <c r="B8" s="143"/>
      <c r="C8" s="143"/>
      <c r="D8" s="143"/>
      <c r="E8" s="144"/>
      <c r="F8" s="160" t="s">
        <v>159</v>
      </c>
      <c r="G8" s="162" t="s">
        <v>164</v>
      </c>
      <c r="H8" s="163"/>
      <c r="I8" s="166">
        <v>45239</v>
      </c>
      <c r="J8" s="167"/>
    </row>
    <row r="9" spans="1:23" ht="14.25" customHeight="1" x14ac:dyDescent="0.25">
      <c r="A9" s="145"/>
      <c r="B9" s="146"/>
      <c r="C9" s="146"/>
      <c r="D9" s="146"/>
      <c r="E9" s="147"/>
      <c r="F9" s="161"/>
      <c r="G9" s="164"/>
      <c r="H9" s="165"/>
      <c r="I9" s="168"/>
      <c r="J9" s="169"/>
    </row>
    <row r="10" spans="1:23" ht="14.25" customHeight="1" x14ac:dyDescent="0.25">
      <c r="A10" s="170" t="s">
        <v>8</v>
      </c>
      <c r="B10" s="170"/>
      <c r="C10" s="170" t="s">
        <v>14</v>
      </c>
      <c r="D10" s="170"/>
      <c r="E10" s="170"/>
      <c r="F10" s="171" t="s">
        <v>15</v>
      </c>
      <c r="G10" s="172"/>
      <c r="H10" s="173"/>
      <c r="I10" s="174" t="s">
        <v>10</v>
      </c>
      <c r="J10" s="175"/>
      <c r="K10" t="s">
        <v>186</v>
      </c>
      <c r="M10">
        <v>2495</v>
      </c>
    </row>
    <row r="11" spans="1:23" x14ac:dyDescent="0.25">
      <c r="A11" s="176" t="s">
        <v>162</v>
      </c>
      <c r="B11" s="176"/>
      <c r="C11" s="177" t="s">
        <v>131</v>
      </c>
      <c r="D11" s="177"/>
      <c r="E11" s="177"/>
      <c r="F11" s="142" t="s">
        <v>185</v>
      </c>
      <c r="G11" s="143"/>
      <c r="H11" s="178"/>
      <c r="I11" s="180" t="s">
        <v>326</v>
      </c>
      <c r="J11" s="181"/>
      <c r="K11" t="s">
        <v>188</v>
      </c>
      <c r="M11">
        <v>2764</v>
      </c>
    </row>
    <row r="12" spans="1:23" x14ac:dyDescent="0.25">
      <c r="A12" s="176"/>
      <c r="B12" s="176"/>
      <c r="C12" s="177"/>
      <c r="D12" s="177"/>
      <c r="E12" s="177"/>
      <c r="F12" s="145"/>
      <c r="G12" s="146"/>
      <c r="H12" s="179"/>
      <c r="I12" s="180"/>
      <c r="J12" s="181"/>
    </row>
    <row r="13" spans="1:23" ht="12.75" customHeight="1" x14ac:dyDescent="0.25">
      <c r="A13" s="170" t="s">
        <v>9</v>
      </c>
      <c r="B13" s="170"/>
      <c r="C13" s="170" t="s">
        <v>11</v>
      </c>
      <c r="D13" s="170"/>
      <c r="E13" s="170"/>
      <c r="F13" s="171" t="s">
        <v>16</v>
      </c>
      <c r="G13" s="172"/>
      <c r="H13" s="173"/>
      <c r="I13" s="170" t="s">
        <v>12</v>
      </c>
      <c r="J13" s="182"/>
    </row>
    <row r="14" spans="1:23" ht="18" customHeight="1" x14ac:dyDescent="0.25">
      <c r="A14" s="177" t="s">
        <v>132</v>
      </c>
      <c r="B14" s="177"/>
      <c r="C14" s="177" t="s">
        <v>133</v>
      </c>
      <c r="D14" s="177"/>
      <c r="E14" s="177"/>
      <c r="F14" s="40" t="s">
        <v>24</v>
      </c>
      <c r="G14" s="79" t="s">
        <v>363</v>
      </c>
      <c r="H14" s="79" t="s">
        <v>187</v>
      </c>
      <c r="I14" s="177" t="s">
        <v>249</v>
      </c>
      <c r="J14" s="183"/>
      <c r="M14" s="27"/>
    </row>
    <row r="15" spans="1:23" ht="18" customHeight="1" x14ac:dyDescent="0.25">
      <c r="A15" s="160"/>
      <c r="B15" s="160"/>
      <c r="C15" s="160"/>
      <c r="D15" s="160"/>
      <c r="E15" s="160"/>
      <c r="F15" s="79" t="s">
        <v>25</v>
      </c>
      <c r="G15" s="79" t="s">
        <v>364</v>
      </c>
      <c r="H15" s="79" t="s">
        <v>189</v>
      </c>
      <c r="I15" s="184"/>
      <c r="J15" s="185"/>
    </row>
    <row r="16" spans="1:23" ht="17.100000000000001" customHeight="1" x14ac:dyDescent="0.25">
      <c r="A16" s="186" t="s">
        <v>17</v>
      </c>
      <c r="B16" s="187" t="s">
        <v>18</v>
      </c>
      <c r="C16" s="187"/>
      <c r="D16" s="186" t="s">
        <v>19</v>
      </c>
      <c r="E16" s="186" t="s">
        <v>135</v>
      </c>
      <c r="F16" s="187" t="s">
        <v>136</v>
      </c>
      <c r="G16" s="186" t="s">
        <v>137</v>
      </c>
      <c r="H16" s="187" t="s">
        <v>138</v>
      </c>
      <c r="I16" s="186" t="s">
        <v>2</v>
      </c>
      <c r="J16" s="186" t="s">
        <v>139</v>
      </c>
    </row>
    <row r="17" spans="1:18" ht="17.100000000000001" customHeight="1" x14ac:dyDescent="0.25">
      <c r="A17" s="186"/>
      <c r="B17" s="64" t="s">
        <v>0</v>
      </c>
      <c r="C17" s="64" t="s">
        <v>1</v>
      </c>
      <c r="D17" s="186"/>
      <c r="E17" s="186"/>
      <c r="F17" s="186"/>
      <c r="G17" s="186"/>
      <c r="H17" s="191"/>
      <c r="I17" s="186"/>
      <c r="J17" s="186"/>
    </row>
    <row r="18" spans="1:18" ht="17.100000000000001" customHeight="1" x14ac:dyDescent="0.25">
      <c r="A18" s="78" t="s">
        <v>267</v>
      </c>
      <c r="B18" s="72">
        <v>0</v>
      </c>
      <c r="C18" s="72">
        <v>269</v>
      </c>
      <c r="D18" s="72">
        <f>C18-B18</f>
        <v>269</v>
      </c>
      <c r="E18" s="35">
        <v>6</v>
      </c>
      <c r="F18" s="35">
        <f t="shared" ref="F18:F28" si="0">E18*D18</f>
        <v>1614</v>
      </c>
      <c r="G18" s="89" t="s">
        <v>110</v>
      </c>
      <c r="H18" s="35"/>
      <c r="I18" s="35" t="s">
        <v>105</v>
      </c>
      <c r="J18" s="64">
        <v>53</v>
      </c>
      <c r="K18" s="81">
        <f>B18-2495</f>
        <v>-2495</v>
      </c>
      <c r="L18" s="81">
        <f>C18-2495</f>
        <v>-2226</v>
      </c>
      <c r="O18" s="60" t="s">
        <v>119</v>
      </c>
      <c r="R18" s="59">
        <v>1</v>
      </c>
    </row>
    <row r="19" spans="1:18" ht="17.100000000000001" customHeight="1" x14ac:dyDescent="0.25">
      <c r="A19" s="78" t="s">
        <v>267</v>
      </c>
      <c r="B19" s="80">
        <v>3</v>
      </c>
      <c r="C19" s="80"/>
      <c r="D19" s="90">
        <v>0.5</v>
      </c>
      <c r="E19" s="35">
        <v>6</v>
      </c>
      <c r="F19" s="35">
        <f t="shared" ref="F19" si="1">E19*D19</f>
        <v>3</v>
      </c>
      <c r="G19" s="89" t="s">
        <v>269</v>
      </c>
      <c r="H19" s="89"/>
      <c r="I19" s="64" t="s">
        <v>105</v>
      </c>
      <c r="J19" s="64"/>
      <c r="K19" s="81">
        <f t="shared" ref="K19:L27" si="2">B20-2495</f>
        <v>-2477</v>
      </c>
      <c r="L19" s="81"/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18</v>
      </c>
      <c r="C20" s="80"/>
      <c r="D20" s="90">
        <v>0.5</v>
      </c>
      <c r="E20" s="35">
        <v>0.5</v>
      </c>
      <c r="F20" s="35">
        <f t="shared" si="0"/>
        <v>0.25</v>
      </c>
      <c r="G20" s="89" t="s">
        <v>148</v>
      </c>
      <c r="H20" s="89"/>
      <c r="I20" s="64" t="s">
        <v>102</v>
      </c>
      <c r="J20" s="64"/>
      <c r="K20" s="81">
        <f t="shared" si="2"/>
        <v>-2470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25</v>
      </c>
      <c r="C21" s="80"/>
      <c r="D21" s="90">
        <v>0.5</v>
      </c>
      <c r="E21" s="35">
        <v>0.5</v>
      </c>
      <c r="F21" s="35">
        <f>E21*D21</f>
        <v>0.25</v>
      </c>
      <c r="G21" s="89" t="s">
        <v>148</v>
      </c>
      <c r="H21" s="89"/>
      <c r="I21" s="64" t="s">
        <v>102</v>
      </c>
      <c r="J21" s="64"/>
      <c r="K21" s="81">
        <f t="shared" si="2"/>
        <v>-2466</v>
      </c>
      <c r="L21" s="81"/>
      <c r="O21" s="60" t="s">
        <v>122</v>
      </c>
      <c r="R21" s="58" t="s">
        <v>99</v>
      </c>
    </row>
    <row r="22" spans="1:18" ht="17.100000000000001" customHeight="1" x14ac:dyDescent="0.25">
      <c r="A22" s="78" t="s">
        <v>268</v>
      </c>
      <c r="B22" s="80">
        <v>29</v>
      </c>
      <c r="C22" s="80"/>
      <c r="D22" s="90">
        <v>0.5</v>
      </c>
      <c r="E22" s="35">
        <v>0.5</v>
      </c>
      <c r="F22" s="35">
        <f>E22*D22</f>
        <v>0.25</v>
      </c>
      <c r="G22" s="89" t="s">
        <v>148</v>
      </c>
      <c r="H22" s="89"/>
      <c r="I22" s="64" t="s">
        <v>102</v>
      </c>
      <c r="J22" s="64"/>
      <c r="K22" s="81">
        <f t="shared" si="2"/>
        <v>-2460</v>
      </c>
      <c r="L22" s="81"/>
      <c r="O22" s="60" t="s">
        <v>123</v>
      </c>
      <c r="R22" s="58" t="s">
        <v>100</v>
      </c>
    </row>
    <row r="23" spans="1:18" ht="17.100000000000001" customHeight="1" x14ac:dyDescent="0.25">
      <c r="A23" s="78" t="s">
        <v>268</v>
      </c>
      <c r="B23" s="80">
        <v>35</v>
      </c>
      <c r="C23" s="80"/>
      <c r="D23" s="90">
        <v>0.5</v>
      </c>
      <c r="E23" s="35">
        <v>0.5</v>
      </c>
      <c r="F23" s="35">
        <f t="shared" ref="F23" si="3">E23*D23</f>
        <v>0.25</v>
      </c>
      <c r="G23" s="89" t="s">
        <v>148</v>
      </c>
      <c r="H23" s="89"/>
      <c r="I23" s="64" t="s">
        <v>102</v>
      </c>
      <c r="J23" s="64"/>
      <c r="K23" s="81">
        <f t="shared" si="2"/>
        <v>-2458</v>
      </c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267</v>
      </c>
      <c r="B24" s="80">
        <v>37</v>
      </c>
      <c r="C24" s="80"/>
      <c r="D24" s="90">
        <v>0.5</v>
      </c>
      <c r="E24" s="35">
        <v>6</v>
      </c>
      <c r="F24" s="35">
        <f t="shared" si="0"/>
        <v>3</v>
      </c>
      <c r="G24" s="89" t="s">
        <v>151</v>
      </c>
      <c r="H24" s="89"/>
      <c r="I24" s="64" t="s">
        <v>105</v>
      </c>
      <c r="J24" s="64"/>
      <c r="K24" s="81">
        <f t="shared" si="2"/>
        <v>-2370</v>
      </c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125</v>
      </c>
      <c r="C25" s="80"/>
      <c r="D25" s="90">
        <v>0.5</v>
      </c>
      <c r="E25" s="35">
        <v>0.5</v>
      </c>
      <c r="F25" s="35">
        <f t="shared" si="0"/>
        <v>0.25</v>
      </c>
      <c r="G25" s="89" t="s">
        <v>148</v>
      </c>
      <c r="H25" s="89"/>
      <c r="I25" s="64" t="s">
        <v>102</v>
      </c>
      <c r="J25" s="64"/>
      <c r="K25" s="81">
        <f t="shared" si="2"/>
        <v>-2366</v>
      </c>
      <c r="L25" s="81"/>
      <c r="O25" s="60" t="s">
        <v>130</v>
      </c>
      <c r="R25" s="58" t="s">
        <v>103</v>
      </c>
    </row>
    <row r="26" spans="1:18" ht="17.100000000000001" customHeight="1" x14ac:dyDescent="0.25">
      <c r="A26" s="78" t="s">
        <v>268</v>
      </c>
      <c r="B26" s="80">
        <v>129</v>
      </c>
      <c r="C26" s="80"/>
      <c r="D26" s="90">
        <v>0.5</v>
      </c>
      <c r="E26" s="35">
        <v>0.5</v>
      </c>
      <c r="F26" s="35">
        <f t="shared" ref="F26" si="4">E26*D26</f>
        <v>0.25</v>
      </c>
      <c r="G26" s="89" t="s">
        <v>148</v>
      </c>
      <c r="H26" s="89"/>
      <c r="I26" s="64" t="s">
        <v>102</v>
      </c>
      <c r="J26" s="64"/>
      <c r="K26" s="81">
        <f t="shared" si="2"/>
        <v>-2309</v>
      </c>
      <c r="L26" s="81"/>
      <c r="O26" s="60" t="s">
        <v>125</v>
      </c>
      <c r="R26" s="58" t="s">
        <v>104</v>
      </c>
    </row>
    <row r="27" spans="1:18" ht="17.100000000000001" customHeight="1" x14ac:dyDescent="0.25">
      <c r="A27" s="78" t="s">
        <v>21</v>
      </c>
      <c r="B27" s="80">
        <v>186</v>
      </c>
      <c r="C27" s="80"/>
      <c r="D27" s="90">
        <v>0.5</v>
      </c>
      <c r="E27" s="35">
        <v>0.5</v>
      </c>
      <c r="F27" s="35">
        <f t="shared" ref="F27" si="5">E27*D27</f>
        <v>0.25</v>
      </c>
      <c r="G27" s="89" t="s">
        <v>148</v>
      </c>
      <c r="H27" s="89"/>
      <c r="I27" s="64" t="s">
        <v>102</v>
      </c>
      <c r="J27" s="64"/>
      <c r="K27" s="81">
        <f t="shared" si="2"/>
        <v>-2249</v>
      </c>
      <c r="L27" s="81">
        <f t="shared" si="2"/>
        <v>-2247</v>
      </c>
      <c r="O27" s="60" t="s">
        <v>126</v>
      </c>
      <c r="R27" s="58" t="s">
        <v>99</v>
      </c>
    </row>
    <row r="28" spans="1:18" ht="17.100000000000001" customHeight="1" x14ac:dyDescent="0.25">
      <c r="A28" s="78" t="s">
        <v>21</v>
      </c>
      <c r="B28" s="80">
        <v>246</v>
      </c>
      <c r="C28" s="80">
        <v>248</v>
      </c>
      <c r="D28" s="72">
        <v>2</v>
      </c>
      <c r="E28" s="35">
        <v>0.5</v>
      </c>
      <c r="F28" s="35">
        <f t="shared" si="0"/>
        <v>1</v>
      </c>
      <c r="G28" s="89" t="s">
        <v>119</v>
      </c>
      <c r="H28" s="89">
        <v>1</v>
      </c>
      <c r="I28" s="64" t="s">
        <v>99</v>
      </c>
      <c r="J28" s="64">
        <v>54</v>
      </c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193" t="s">
        <v>284</v>
      </c>
      <c r="C29" s="194"/>
      <c r="D29" s="194"/>
      <c r="E29" s="194"/>
      <c r="F29" s="194"/>
      <c r="G29" s="194"/>
      <c r="H29" s="194"/>
      <c r="I29" s="195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156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155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150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148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151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149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152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143</v>
      </c>
      <c r="E44" s="70" t="s">
        <v>119</v>
      </c>
      <c r="F44" s="71">
        <f t="shared" ref="F44:F49" si="6">SUMIF($G$18:$G$43,E44,$F$18:$F$43)</f>
        <v>1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35">
        <v>3</v>
      </c>
      <c r="C45" s="35">
        <v>269</v>
      </c>
      <c r="D45" s="35">
        <f t="shared" ref="D45" si="7">SUM(C45*B45)</f>
        <v>807</v>
      </c>
      <c r="E45" s="64" t="s">
        <v>120</v>
      </c>
      <c r="F45" s="35">
        <f t="shared" si="6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268</v>
      </c>
      <c r="B46" s="35">
        <v>3</v>
      </c>
      <c r="C46" s="35">
        <v>269</v>
      </c>
      <c r="D46" s="35">
        <f t="shared" ref="D46" si="8">SUM(C46*B46)</f>
        <v>807</v>
      </c>
      <c r="E46" s="64" t="s">
        <v>121</v>
      </c>
      <c r="F46" s="35">
        <f t="shared" si="6"/>
        <v>0</v>
      </c>
      <c r="G46" s="64" t="s">
        <v>125</v>
      </c>
      <c r="H46" s="35">
        <f>SUMIF($G$18:$G$43,G46,$F$18:$F$43)</f>
        <v>0</v>
      </c>
      <c r="I46" s="64" t="s">
        <v>156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6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6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538</v>
      </c>
      <c r="D49" s="35">
        <f>SUM(D45:D47)</f>
        <v>1614</v>
      </c>
      <c r="E49" s="64" t="s">
        <v>124</v>
      </c>
      <c r="F49" s="35">
        <f t="shared" si="6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145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140</v>
      </c>
      <c r="C53" s="5"/>
      <c r="I53" s="5"/>
      <c r="J53" s="25"/>
    </row>
    <row r="54" spans="1:15" ht="17.100000000000001" customHeight="1" x14ac:dyDescent="0.25">
      <c r="A54" s="24" t="s">
        <v>147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157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141</v>
      </c>
      <c r="B56" s="5"/>
      <c r="C56" s="5"/>
      <c r="J56" s="19"/>
    </row>
    <row r="57" spans="1:15" ht="16.5" customHeight="1" x14ac:dyDescent="0.25">
      <c r="A57" s="24" t="s">
        <v>146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142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144</v>
      </c>
      <c r="J61" s="19"/>
    </row>
    <row r="62" spans="1:15" ht="16.5" customHeight="1" x14ac:dyDescent="0.25">
      <c r="A62" s="26" t="s">
        <v>153</v>
      </c>
      <c r="J62" s="19"/>
    </row>
    <row r="63" spans="1:15" ht="17.100000000000001" customHeight="1" thickBot="1" x14ac:dyDescent="0.3">
      <c r="A63" s="75" t="s">
        <v>154</v>
      </c>
      <c r="B63" s="76"/>
      <c r="C63" s="76"/>
      <c r="D63" s="76"/>
      <c r="E63" s="77"/>
      <c r="F63" s="77"/>
      <c r="G63" s="196"/>
      <c r="H63" s="196"/>
      <c r="I63" s="196"/>
      <c r="J63" s="197"/>
    </row>
    <row r="64" spans="1:15" ht="17.100000000000001" customHeight="1" thickTop="1" x14ac:dyDescent="0.25">
      <c r="E64" s="2"/>
      <c r="F64" s="2"/>
      <c r="G64" s="198"/>
      <c r="H64" s="198"/>
      <c r="I64" s="198"/>
      <c r="J64" s="198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5">
    <mergeCell ref="H16:H17"/>
    <mergeCell ref="I16:I17"/>
    <mergeCell ref="J16:J17"/>
    <mergeCell ref="G63:J63"/>
    <mergeCell ref="G64:J64"/>
    <mergeCell ref="G16:G17"/>
    <mergeCell ref="B29:I29"/>
    <mergeCell ref="A16:A17"/>
    <mergeCell ref="B16:C16"/>
    <mergeCell ref="D16:D17"/>
    <mergeCell ref="E16:E17"/>
    <mergeCell ref="F16:F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I3"/>
    <mergeCell ref="A7:E7"/>
    <mergeCell ref="G7:H7"/>
    <mergeCell ref="I7:J7"/>
    <mergeCell ref="A8:E9"/>
    <mergeCell ref="F8:F9"/>
    <mergeCell ref="G8:H9"/>
    <mergeCell ref="I8:J9"/>
  </mergeCells>
  <dataValidations count="1">
    <dataValidation type="list" allowBlank="1" showInputMessage="1" showErrorMessage="1" sqref="G30:G31 G32:G43 G18:G28" xr:uid="{EE94A906-70A6-443D-880C-C5FE854BFB1E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scale="8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NEED</vt:lpstr>
      <vt:lpstr>VCS (1)</vt:lpstr>
      <vt:lpstr>VCS (2)</vt:lpstr>
      <vt:lpstr>VCS (3)</vt:lpstr>
      <vt:lpstr>VCS (4)</vt:lpstr>
      <vt:lpstr>VCS (4.1)</vt:lpstr>
      <vt:lpstr>VCS (5)</vt:lpstr>
      <vt:lpstr>VCS (6)</vt:lpstr>
      <vt:lpstr>VCS (7)</vt:lpstr>
      <vt:lpstr>VCS (8)</vt:lpstr>
      <vt:lpstr>VCS (8.1)</vt:lpstr>
      <vt:lpstr>VCS (9)</vt:lpstr>
      <vt:lpstr>VCS (9.1)</vt:lpstr>
      <vt:lpstr>VCS (10)</vt:lpstr>
      <vt:lpstr>VCS (10.1)</vt:lpstr>
      <vt:lpstr>VCS (11)</vt:lpstr>
      <vt:lpstr>VCS (12)</vt:lpstr>
      <vt:lpstr>VCS (13)</vt:lpstr>
      <vt:lpstr>VCS (14)</vt:lpstr>
      <vt:lpstr>VCS (15)</vt:lpstr>
      <vt:lpstr>VCS (16)</vt:lpstr>
      <vt:lpstr>VCS (16.1)</vt:lpstr>
      <vt:lpstr>VCS (17)</vt:lpstr>
      <vt:lpstr>VCS (18)</vt:lpstr>
      <vt:lpstr>VCS (19)</vt:lpstr>
      <vt:lpstr>NEED!Print_Area</vt:lpstr>
      <vt:lpstr>'VCS (1)'!Print_Area</vt:lpstr>
      <vt:lpstr>'VCS (10)'!Print_Area</vt:lpstr>
      <vt:lpstr>'VCS (10.1)'!Print_Area</vt:lpstr>
      <vt:lpstr>'VCS (11)'!Print_Area</vt:lpstr>
      <vt:lpstr>'VCS (12)'!Print_Area</vt:lpstr>
      <vt:lpstr>'VCS (13)'!Print_Area</vt:lpstr>
      <vt:lpstr>'VCS (14)'!Print_Area</vt:lpstr>
      <vt:lpstr>'VCS (15)'!Print_Area</vt:lpstr>
      <vt:lpstr>'VCS (16)'!Print_Area</vt:lpstr>
      <vt:lpstr>'VCS (16.1)'!Print_Area</vt:lpstr>
      <vt:lpstr>'VCS (17)'!Print_Area</vt:lpstr>
      <vt:lpstr>'VCS (18)'!Print_Area</vt:lpstr>
      <vt:lpstr>'VCS (19)'!Print_Area</vt:lpstr>
      <vt:lpstr>'VCS (2)'!Print_Area</vt:lpstr>
      <vt:lpstr>'VCS (3)'!Print_Area</vt:lpstr>
      <vt:lpstr>'VCS (4)'!Print_Area</vt:lpstr>
      <vt:lpstr>'VCS (4.1)'!Print_Area</vt:lpstr>
      <vt:lpstr>'VCS (5)'!Print_Area</vt:lpstr>
      <vt:lpstr>'VCS (6)'!Print_Area</vt:lpstr>
      <vt:lpstr>'VCS (7)'!Print_Area</vt:lpstr>
      <vt:lpstr>'VCS (8)'!Print_Area</vt:lpstr>
      <vt:lpstr>'VCS (8.1)'!Print_Area</vt:lpstr>
      <vt:lpstr>'VCS (9)'!Print_Area</vt:lpstr>
      <vt:lpstr>'VCS (9.1)'!Print_Area</vt:lpstr>
    </vt:vector>
  </TitlesOfParts>
  <Company>AmeyMouchel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KHowe</dc:creator>
  <cp:lastModifiedBy>Drew Bennett</cp:lastModifiedBy>
  <cp:lastPrinted>2023-11-24T09:09:39Z</cp:lastPrinted>
  <dcterms:created xsi:type="dcterms:W3CDTF">2005-02-03T07:56:21Z</dcterms:created>
  <dcterms:modified xsi:type="dcterms:W3CDTF">2024-05-14T14:56:38Z</dcterms:modified>
</cp:coreProperties>
</file>