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s" sheetId="1" r:id="rId4"/>
    <sheet state="visible" name="Exercises" sheetId="2" r:id="rId5"/>
  </sheets>
  <definedNames/>
  <calcPr/>
</workbook>
</file>

<file path=xl/sharedStrings.xml><?xml version="1.0" encoding="utf-8"?>
<sst xmlns="http://schemas.openxmlformats.org/spreadsheetml/2006/main" count="276" uniqueCount="211">
  <si>
    <t>DATASET</t>
  </si>
  <si>
    <t>X</t>
  </si>
  <si>
    <t>y</t>
  </si>
  <si>
    <t>x square</t>
  </si>
  <si>
    <t>x * y</t>
  </si>
  <si>
    <t>Trendline</t>
  </si>
  <si>
    <t xml:space="preserve">n = </t>
  </si>
  <si>
    <t>y = mx + b</t>
  </si>
  <si>
    <t>FORMULA</t>
  </si>
  <si>
    <t xml:space="preserve">m = </t>
  </si>
  <si>
    <t xml:space="preserve">b = </t>
  </si>
  <si>
    <t>Y</t>
  </si>
  <si>
    <t>Y+K</t>
  </si>
  <si>
    <t>YK</t>
  </si>
  <si>
    <t>BINOMIAL DISTRO</t>
  </si>
  <si>
    <t>Number of trials n = 3</t>
  </si>
  <si>
    <t>(n/k)</t>
  </si>
  <si>
    <t>Successes k</t>
  </si>
  <si>
    <t>p(X=k)</t>
  </si>
  <si>
    <t>Number of outcomes = 2 (contract or no contract)</t>
  </si>
  <si>
    <t>Probability of success p = 0.8</t>
  </si>
  <si>
    <t>Trials are independent = yes</t>
  </si>
  <si>
    <t>POISSON DISTRO</t>
  </si>
  <si>
    <t>time range</t>
  </si>
  <si>
    <t>  </t>
  </si>
  <si>
    <t xml:space="preserve">k </t>
  </si>
  <si>
    <t>COMBINATORICS</t>
  </si>
  <si>
    <t>3.</t>
  </si>
  <si>
    <t>n</t>
  </si>
  <si>
    <t>k</t>
  </si>
  <si>
    <t>1.</t>
  </si>
  <si>
    <t xml:space="preserve">5! </t>
  </si>
  <si>
    <t>2.</t>
  </si>
  <si>
    <t>32!</t>
  </si>
  <si>
    <t xml:space="preserve">3. </t>
  </si>
  <si>
    <t>4.</t>
  </si>
  <si>
    <t>5.</t>
  </si>
  <si>
    <t xml:space="preserve">n </t>
  </si>
  <si>
    <t>sec in a y</t>
  </si>
  <si>
    <t>PROBABILITY</t>
  </si>
  <si>
    <t>no (it's still P(H) = 0,5)</t>
  </si>
  <si>
    <t>i'd say a very large amount (over 10000 throws). Law of large numbers</t>
  </si>
  <si>
    <t>underlying rule: Theoretical P is still 0,5, Experimental P can be stated to 0,4 only after a large number of empirical experiments</t>
  </si>
  <si>
    <t>C</t>
  </si>
  <si>
    <t>all companies make profit</t>
  </si>
  <si>
    <t>only 1 makes profit</t>
  </si>
  <si>
    <t xml:space="preserve">10K in </t>
  </si>
  <si>
    <t>no one makes profit</t>
  </si>
  <si>
    <t>POPULATION</t>
  </si>
  <si>
    <t>DISEASED</t>
  </si>
  <si>
    <t>NOT DISEASED</t>
  </si>
  <si>
    <t>TOTAL</t>
  </si>
  <si>
    <t>INCIDENCE</t>
  </si>
  <si>
    <t>TEST +</t>
  </si>
  <si>
    <t>TEST CONFO</t>
  </si>
  <si>
    <t>TEST -</t>
  </si>
  <si>
    <t xml:space="preserve">ERROR </t>
  </si>
  <si>
    <t>P(A)</t>
  </si>
  <si>
    <t>prob of being sick</t>
  </si>
  <si>
    <t>BAYES THEOREM WITH A FORMULA</t>
  </si>
  <si>
    <t>P(B)</t>
  </si>
  <si>
    <t>prob of having a + test</t>
  </si>
  <si>
    <t>P(B|A)</t>
  </si>
  <si>
    <t>test confidence</t>
  </si>
  <si>
    <t>P(A|B)</t>
  </si>
  <si>
    <t>probability of being infected given a positive test</t>
  </si>
  <si>
    <t>A</t>
  </si>
  <si>
    <t>B</t>
  </si>
  <si>
    <t>A-MA SQ</t>
  </si>
  <si>
    <t>B-MB SQ</t>
  </si>
  <si>
    <t>A-MA</t>
  </si>
  <si>
    <t>B-MB</t>
  </si>
  <si>
    <t>N</t>
  </si>
  <si>
    <t>A,B</t>
  </si>
  <si>
    <t>MEAN</t>
  </si>
  <si>
    <t>VARIANCE</t>
  </si>
  <si>
    <t>ST DEV</t>
  </si>
  <si>
    <t>COVAR</t>
  </si>
  <si>
    <t>CORR</t>
  </si>
  <si>
    <t>7.</t>
  </si>
  <si>
    <t>male eng</t>
  </si>
  <si>
    <t>8.</t>
  </si>
  <si>
    <t>avg yield</t>
  </si>
  <si>
    <t>z-score=</t>
  </si>
  <si>
    <t>std dev</t>
  </si>
  <si>
    <t>2021 v</t>
  </si>
  <si>
    <t>1 std</t>
  </si>
  <si>
    <t>2 skw</t>
  </si>
  <si>
    <t>3 std</t>
  </si>
  <si>
    <t>4 skw</t>
  </si>
  <si>
    <t>5 std</t>
  </si>
  <si>
    <t>ERR</t>
  </si>
  <si>
    <t>TOT</t>
  </si>
  <si>
    <t>avr err rate</t>
  </si>
  <si>
    <t>std dev err rate</t>
  </si>
  <si>
    <t>target</t>
  </si>
  <si>
    <t>LOTTERY</t>
  </si>
  <si>
    <t>order is not relevant, repetition is not allowed: simple combinations</t>
  </si>
  <si>
    <t>"cinquina"</t>
  </si>
  <si>
    <t>I play 5 numbers, triyn to guess all the 5 extractions</t>
  </si>
  <si>
    <t>probability (all possibile combinations, C(90,5))</t>
  </si>
  <si>
    <t>probability</t>
  </si>
  <si>
    <t>it's a fair game?</t>
  </si>
  <si>
    <t>win</t>
  </si>
  <si>
    <t>expected win</t>
  </si>
  <si>
    <t>or with probability of each single event</t>
  </si>
  <si>
    <t>fair = 1</t>
  </si>
  <si>
    <t>game is 7 times unfair</t>
  </si>
  <si>
    <t>drawn #</t>
  </si>
  <si>
    <t>event</t>
  </si>
  <si>
    <t>one out of my 5 number is matching the drawn</t>
  </si>
  <si>
    <t>5/90</t>
  </si>
  <si>
    <t>one out of my 4 number is matching the drawn</t>
  </si>
  <si>
    <t>4/89</t>
  </si>
  <si>
    <t>one out of my 3 number is matching the drawn</t>
  </si>
  <si>
    <t>3/88</t>
  </si>
  <si>
    <t>one out of my 2 number is matching the drawn</t>
  </si>
  <si>
    <t>2/87</t>
  </si>
  <si>
    <t>one out of my 1 number is matching the drawn</t>
  </si>
  <si>
    <t>1/86</t>
  </si>
  <si>
    <t>"singolo"</t>
  </si>
  <si>
    <t>I play 1 number, triyn to guess at least one of the 5 extractions</t>
  </si>
  <si>
    <t>5/90 or 1/18</t>
  </si>
  <si>
    <t>probability (k/n)</t>
  </si>
  <si>
    <t>mutually exclusive events</t>
  </si>
  <si>
    <t>my number is drawn as first</t>
  </si>
  <si>
    <t>1/90</t>
  </si>
  <si>
    <t>my number is drawn as second</t>
  </si>
  <si>
    <t>89/90 * 1/89</t>
  </si>
  <si>
    <t>my number is drawn as third</t>
  </si>
  <si>
    <t>89/90 * 88/89  * 1/88</t>
  </si>
  <si>
    <t>my number is drawn as fourth</t>
  </si>
  <si>
    <t>89/90 * 88/89  * 87/88 * 1/87</t>
  </si>
  <si>
    <t>my number is drawn as fifth</t>
  </si>
  <si>
    <t>89/90 * 88/89  * 87/88 * 86/87 * 1/86</t>
  </si>
  <si>
    <t>10 times dice roll</t>
  </si>
  <si>
    <t>expected sum</t>
  </si>
  <si>
    <t>10&lt;x&lt;60</t>
  </si>
  <si>
    <t>distribution</t>
  </si>
  <si>
    <t>discrete uniform</t>
  </si>
  <si>
    <t>distribution for 1000 roll</t>
  </si>
  <si>
    <t>normal</t>
  </si>
  <si>
    <t>distribution for 15 roll</t>
  </si>
  <si>
    <t>student</t>
  </si>
  <si>
    <t>degrees of freedom</t>
  </si>
  <si>
    <t>t-testing applications</t>
  </si>
  <si>
    <t xml:space="preserve">avg </t>
  </si>
  <si>
    <t>sample</t>
  </si>
  <si>
    <t>h0</t>
  </si>
  <si>
    <t>h1</t>
  </si>
  <si>
    <t>&gt;1.9</t>
  </si>
  <si>
    <t>s</t>
  </si>
  <si>
    <t>alpha</t>
  </si>
  <si>
    <t>LOS</t>
  </si>
  <si>
    <t xml:space="preserve">df </t>
  </si>
  <si>
    <t>t</t>
  </si>
  <si>
    <t>p</t>
  </si>
  <si>
    <t>null rejected</t>
  </si>
  <si>
    <t>pop avg</t>
  </si>
  <si>
    <t>sample avg</t>
  </si>
  <si>
    <t>sample std</t>
  </si>
  <si>
    <t xml:space="preserve">sample </t>
  </si>
  <si>
    <t>df</t>
  </si>
  <si>
    <t>null accepted</t>
  </si>
  <si>
    <t>Chi-square test</t>
  </si>
  <si>
    <t>alpha=</t>
  </si>
  <si>
    <t>month</t>
  </si>
  <si>
    <t>observed sales</t>
  </si>
  <si>
    <t>expected sales</t>
  </si>
  <si>
    <t>(O-E)^2</t>
  </si>
  <si>
    <t>chi-square</t>
  </si>
  <si>
    <t>gen</t>
  </si>
  <si>
    <t>upper-tail prob (table)</t>
  </si>
  <si>
    <t>feb</t>
  </si>
  <si>
    <t>H0 rejected</t>
  </si>
  <si>
    <t>mar</t>
  </si>
  <si>
    <t>apr</t>
  </si>
  <si>
    <t>mag</t>
  </si>
  <si>
    <t>giu</t>
  </si>
  <si>
    <t>lug</t>
  </si>
  <si>
    <t>ago</t>
  </si>
  <si>
    <t>set</t>
  </si>
  <si>
    <t>ott</t>
  </si>
  <si>
    <t>nov</t>
  </si>
  <si>
    <t>dic</t>
  </si>
  <si>
    <t>sales are not affected by seasonality</t>
  </si>
  <si>
    <t>ha</t>
  </si>
  <si>
    <t>sales are affected by seasonality</t>
  </si>
  <si>
    <t>ANOVA Test</t>
  </si>
  <si>
    <t>SUM SQUARES  TOTAL (SST)</t>
  </si>
  <si>
    <t>SUM SQUARES WITHIN (SSW)</t>
  </si>
  <si>
    <t>SUM SQUARES BETWEEN (SSB)</t>
  </si>
  <si>
    <t>A ZONE</t>
  </si>
  <si>
    <t>B ZONE</t>
  </si>
  <si>
    <t>C ZONE</t>
  </si>
  <si>
    <t>mean</t>
  </si>
  <si>
    <t>grand mean</t>
  </si>
  <si>
    <t>m</t>
  </si>
  <si>
    <t xml:space="preserve">F TEST </t>
  </si>
  <si>
    <t>F TABLE</t>
  </si>
  <si>
    <t>REJECT THE NULL</t>
  </si>
  <si>
    <t>LINER REGRESSION</t>
  </si>
  <si>
    <t>X SQUARE</t>
  </si>
  <si>
    <t>X*Y</t>
  </si>
  <si>
    <t>TRENDLINE</t>
  </si>
  <si>
    <t>b</t>
  </si>
  <si>
    <t>FORMULA CHECK</t>
  </si>
  <si>
    <t>SAMPLE SIZE</t>
  </si>
  <si>
    <t>MOE</t>
  </si>
  <si>
    <t>CI</t>
  </si>
  <si>
    <t>z-score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</si>
</sst>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1">
    <numFmt numFmtId="164" formatCode="_-* #,##0.00\ _€_-;\-* #,##0.00\ _€_-;_-* &quot;-&quot;??\ _€_-;_-@"/>
    <numFmt numFmtId="165" formatCode="_-* #,##0_-;\-* #,##0_-;_-* &quot;-&quot;??_-;_-@"/>
    <numFmt numFmtId="166" formatCode="0.0%"/>
    <numFmt numFmtId="167" formatCode="0.000%"/>
    <numFmt numFmtId="168" formatCode="0.0000%"/>
    <numFmt numFmtId="169" formatCode="0.000000%"/>
    <numFmt numFmtId="170" formatCode="0.00000%"/>
    <numFmt numFmtId="171" formatCode="_-* #,##0.00_-;\-* #,##0.00_-;_-* &quot;-&quot;??_-;_-@"/>
    <numFmt numFmtId="172" formatCode="0.0"/>
    <numFmt numFmtId="173" formatCode="_-* #,##0.00000_-;\-* #,##0.00000_-;_-* &quot;-&quot;??_-;_-@"/>
    <numFmt numFmtId="174" formatCode="_-* #,##0.000_-;\-* #,##0.000_-;_-* &quot;-&quot;??_-;_-@"/>
    <numFmt numFmtId="175" formatCode="_-* #,##0.0000_-;\-* #,##0.0000_-;_-* &quot;-&quot;??_-;_-@"/>
    <numFmt numFmtId="176" formatCode="_-* #,##0.0\ _€_-;\-* #,##0.0\ _€_-;_-* &quot;-&quot;????\ _€_-;_-@"/>
    <numFmt numFmtId="177" formatCode="_-* #,##0.00\ _€_-;\-* #,##0.00\ _€_-;_-* &quot;-&quot;????\ _€_-;_-@"/>
    <numFmt numFmtId="178" formatCode="0.000"/>
    <numFmt numFmtId="179" formatCode="0.00000000%"/>
    <numFmt numFmtId="180" formatCode="_-* #,##0.00000000000_-;\-* #,##0.00000000000_-;_-* &quot;-&quot;??_-;_-@"/>
    <numFmt numFmtId="181" formatCode="_-* #,##0.0000000_-;\-* #,##0.0000000_-;_-* &quot;-&quot;??_-;_-@"/>
    <numFmt numFmtId="182" formatCode="0.000000000%"/>
    <numFmt numFmtId="183" formatCode="h.mm"/>
    <numFmt numFmtId="184" formatCode="0.0000"/>
  </numFmts>
  <fonts count="6">
    <font>
      <sz val="10.0"/>
      <color theme="1"/>
      <name val="Calibri"/>
      <scheme val="minor"/>
    </font>
    <font>
      <color theme="1"/>
      <name val="Calibri"/>
      <scheme val="minor"/>
    </font>
    <font>
      <sz val="10.0"/>
      <color theme="1"/>
      <name val="Calibri"/>
    </font>
    <font>
      <b/>
      <sz val="10.0"/>
      <color theme="1"/>
      <name val="Calibri"/>
    </font>
    <font>
      <u/>
      <sz val="10.0"/>
      <color theme="1"/>
      <name val="Calibri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3" numFmtId="0" xfId="0" applyFont="1"/>
    <xf borderId="0" fillId="0" fontId="3" numFmtId="1" xfId="0" applyFont="1" applyNumberFormat="1"/>
    <xf borderId="0" fillId="0" fontId="2" numFmtId="164" xfId="0" applyFont="1" applyNumberFormat="1"/>
    <xf borderId="0" fillId="0" fontId="4" numFmtId="0" xfId="0" applyFont="1"/>
    <xf borderId="0" fillId="0" fontId="5" numFmtId="0" xfId="0" applyFont="1"/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2" numFmtId="165" xfId="0" applyAlignment="1" applyFont="1" applyNumberFormat="1">
      <alignment horizontal="left" vertical="center"/>
    </xf>
    <xf borderId="0" fillId="0" fontId="2" numFmtId="9" xfId="0" applyAlignment="1" applyFont="1" applyNumberFormat="1">
      <alignment horizontal="left" vertical="center"/>
    </xf>
    <xf borderId="0" fillId="0" fontId="2" numFmtId="166" xfId="0" applyAlignment="1" applyFont="1" applyNumberFormat="1">
      <alignment horizontal="left" vertical="center"/>
    </xf>
    <xf borderId="0" fillId="0" fontId="2" numFmtId="10" xfId="0" applyAlignment="1" applyFont="1" applyNumberFormat="1">
      <alignment horizontal="left" vertical="center"/>
    </xf>
    <xf borderId="0" fillId="0" fontId="2" numFmtId="0" xfId="0" applyAlignment="1" applyFont="1">
      <alignment horizontal="left" readingOrder="0" vertical="center"/>
    </xf>
    <xf borderId="0" fillId="0" fontId="2" numFmtId="167" xfId="0" applyAlignment="1" applyFont="1" applyNumberFormat="1">
      <alignment horizontal="left" vertical="center"/>
    </xf>
    <xf borderId="0" fillId="0" fontId="2" numFmtId="168" xfId="0" applyAlignment="1" applyFont="1" applyNumberFormat="1">
      <alignment horizontal="left" vertical="center"/>
    </xf>
    <xf borderId="0" fillId="0" fontId="2" numFmtId="169" xfId="0" applyAlignment="1" applyFont="1" applyNumberFormat="1">
      <alignment horizontal="left" vertical="center"/>
    </xf>
    <xf borderId="0" fillId="0" fontId="2" numFmtId="170" xfId="0" applyAlignment="1" applyFont="1" applyNumberFormat="1">
      <alignment horizontal="left" vertical="center"/>
    </xf>
    <xf borderId="0" fillId="0" fontId="2" numFmtId="171" xfId="0" applyAlignment="1" applyFont="1" applyNumberFormat="1">
      <alignment horizontal="left" vertical="center"/>
    </xf>
    <xf borderId="0" fillId="0" fontId="2" numFmtId="2" xfId="0" applyAlignment="1" applyFont="1" applyNumberFormat="1">
      <alignment horizontal="left" vertical="center"/>
    </xf>
    <xf borderId="0" fillId="0" fontId="2" numFmtId="172" xfId="0" applyAlignment="1" applyFont="1" applyNumberFormat="1">
      <alignment horizontal="left" vertical="center"/>
    </xf>
    <xf quotePrefix="1" borderId="0" fillId="0" fontId="2" numFmtId="171" xfId="0" applyAlignment="1" applyFont="1" applyNumberFormat="1">
      <alignment horizontal="left" vertical="center"/>
    </xf>
    <xf borderId="0" fillId="0" fontId="2" numFmtId="173" xfId="0" applyAlignment="1" applyFont="1" applyNumberFormat="1">
      <alignment horizontal="left" vertical="center"/>
    </xf>
    <xf borderId="0" fillId="0" fontId="2" numFmtId="174" xfId="0" applyAlignment="1" applyFont="1" applyNumberFormat="1">
      <alignment horizontal="left" vertical="center"/>
    </xf>
    <xf borderId="0" fillId="0" fontId="2" numFmtId="175" xfId="0" applyAlignment="1" applyFont="1" applyNumberFormat="1">
      <alignment horizontal="left" vertical="center"/>
    </xf>
    <xf borderId="0" fillId="0" fontId="2" numFmtId="176" xfId="0" applyAlignment="1" applyFont="1" applyNumberFormat="1">
      <alignment horizontal="left" vertical="center"/>
    </xf>
    <xf borderId="0" fillId="0" fontId="2" numFmtId="177" xfId="0" applyAlignment="1" applyFont="1" applyNumberFormat="1">
      <alignment horizontal="left" vertical="center"/>
    </xf>
    <xf borderId="0" fillId="0" fontId="2" numFmtId="178" xfId="0" applyAlignment="1" applyFont="1" applyNumberFormat="1">
      <alignment horizontal="left" vertical="center"/>
    </xf>
    <xf borderId="0" fillId="0" fontId="2" numFmtId="179" xfId="0" applyAlignment="1" applyFont="1" applyNumberFormat="1">
      <alignment horizontal="left" vertical="center"/>
    </xf>
    <xf borderId="0" fillId="0" fontId="2" numFmtId="0" xfId="0" applyAlignment="1" applyFont="1">
      <alignment horizontal="left" shrinkToFit="0" vertical="center" wrapText="1"/>
    </xf>
    <xf borderId="0" fillId="0" fontId="2" numFmtId="49" xfId="0" applyAlignment="1" applyFont="1" applyNumberFormat="1">
      <alignment horizontal="left" vertical="center"/>
    </xf>
    <xf borderId="0" fillId="0" fontId="2" numFmtId="180" xfId="0" applyAlignment="1" applyFont="1" applyNumberFormat="1">
      <alignment horizontal="left" vertical="center"/>
    </xf>
    <xf borderId="0" fillId="0" fontId="2" numFmtId="181" xfId="0" applyAlignment="1" applyFont="1" applyNumberFormat="1">
      <alignment horizontal="left" vertical="center"/>
    </xf>
    <xf borderId="0" fillId="0" fontId="2" numFmtId="182" xfId="0" applyAlignment="1" applyFont="1" applyNumberFormat="1">
      <alignment horizontal="left" vertical="center"/>
    </xf>
    <xf borderId="0" fillId="0" fontId="2" numFmtId="165" xfId="0" applyAlignment="1" applyFont="1" applyNumberFormat="1">
      <alignment horizontal="left" shrinkToFit="0" vertical="center" wrapText="1"/>
    </xf>
    <xf borderId="0" fillId="0" fontId="3" numFmtId="0" xfId="0" applyAlignment="1" applyFont="1">
      <alignment horizontal="left" readingOrder="0" vertical="center"/>
    </xf>
    <xf borderId="0" fillId="0" fontId="2" numFmtId="165" xfId="0" applyAlignment="1" applyFont="1" applyNumberFormat="1">
      <alignment horizontal="left" readingOrder="0" vertical="center"/>
    </xf>
    <xf borderId="0" fillId="0" fontId="1" numFmtId="0" xfId="0" applyAlignment="1" applyFont="1">
      <alignment readingOrder="0"/>
    </xf>
    <xf borderId="0" fillId="0" fontId="1" numFmtId="10" xfId="0" applyFont="1" applyNumberFormat="1"/>
    <xf borderId="0" fillId="0" fontId="2" numFmtId="9" xfId="0" applyAlignment="1" applyFont="1" applyNumberFormat="1">
      <alignment horizontal="left" readingOrder="0" vertical="center"/>
    </xf>
    <xf borderId="0" fillId="0" fontId="2" numFmtId="10" xfId="0" applyAlignment="1" applyFont="1" applyNumberFormat="1">
      <alignment horizontal="left" readingOrder="0" vertical="center"/>
    </xf>
    <xf borderId="0" fillId="0" fontId="2" numFmtId="183" xfId="0" applyAlignment="1" applyFont="1" applyNumberFormat="1">
      <alignment horizontal="left" readingOrder="0" vertical="center"/>
    </xf>
    <xf borderId="0" fillId="0" fontId="2" numFmtId="4" xfId="0" applyAlignment="1" applyFont="1" applyNumberFormat="1">
      <alignment horizontal="left" readingOrder="0" vertical="center"/>
    </xf>
    <xf borderId="0" fillId="0" fontId="2" numFmtId="4" xfId="0" applyAlignment="1" applyFont="1" applyNumberFormat="1">
      <alignment horizontal="left" vertical="center"/>
    </xf>
    <xf borderId="0" fillId="0" fontId="2" numFmtId="1" xfId="0" applyAlignment="1" applyFont="1" applyNumberFormat="1">
      <alignment horizontal="left" vertical="center"/>
    </xf>
    <xf borderId="0" fillId="0" fontId="2" numFmtId="184" xfId="0" applyAlignment="1" applyFont="1" applyNumberFormat="1">
      <alignment horizontal="left" vertical="center"/>
    </xf>
    <xf borderId="0" fillId="0" fontId="2" numFmtId="2" xfId="0" applyAlignment="1" applyFont="1" applyNumberFormat="1">
      <alignment horizontal="left" readingOrder="0" vertical="center"/>
    </xf>
    <xf borderId="0" fillId="0" fontId="1" numFmtId="184" xfId="0" applyFont="1" applyNumberFormat="1"/>
    <xf borderId="0" fillId="0" fontId="1" numFmtId="2" xfId="0" applyFont="1" applyNumberFormat="1"/>
    <xf borderId="0" fillId="0" fontId="2" numFmtId="3" xfId="0" applyAlignment="1" applyFont="1" applyNumberFormat="1">
      <alignment horizontal="left" vertical="center"/>
    </xf>
    <xf borderId="0" fillId="0" fontId="2" numFmtId="3" xfId="0" applyAlignment="1" applyFont="1" applyNumberForma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tx>
            <c:v>y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Samples!$A$3:$A$10</c:f>
            </c:numRef>
          </c:xVal>
          <c:yVal>
            <c:numRef>
              <c:f>Samples!$B$3:$B$10</c:f>
              <c:numCache/>
            </c:numRef>
          </c:yVal>
        </c:ser>
        <c:ser>
          <c:idx val="1"/>
          <c:order val="1"/>
          <c:tx>
            <c:v>Trendline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trendline>
            <c:name>Linear (Trendline)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xVal>
            <c:numRef>
              <c:f>Samples!$A$3:$A$10</c:f>
            </c:numRef>
          </c:xVal>
          <c:yVal>
            <c:numRef>
              <c:f>Samples!$E$3:$E$10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7633146"/>
        <c:axId val="2128113836"/>
      </c:scatterChart>
      <c:valAx>
        <c:axId val="186763314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28113836"/>
      </c:valAx>
      <c:valAx>
        <c:axId val="21281138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67633146"/>
      </c:valAx>
    </c:plotArea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Shifting and scaling data</a:t>
            </a:r>
          </a:p>
        </c:rich>
      </c:tx>
      <c:overlay val="0"/>
    </c:title>
    <c:plotArea>
      <c:layout/>
      <c:lineChart>
        <c:ser>
          <c:idx val="0"/>
          <c:order val="0"/>
          <c:tx>
            <c:v>Y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cat>
            <c:strRef>
              <c:f>Samples!$A$29:$A$48</c:f>
            </c:strRef>
          </c:cat>
          <c:val>
            <c:numRef>
              <c:f>Samples!$B$29:$B$48</c:f>
              <c:numCache/>
            </c:numRef>
          </c:val>
          <c:smooth val="0"/>
        </c:ser>
        <c:ser>
          <c:idx val="1"/>
          <c:order val="1"/>
          <c:tx>
            <c:v>Y+K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cat>
            <c:strRef>
              <c:f>Samples!$A$29:$A$48</c:f>
            </c:strRef>
          </c:cat>
          <c:val>
            <c:numRef>
              <c:f>Samples!$C$29:$C$48</c:f>
              <c:numCache/>
            </c:numRef>
          </c:val>
          <c:smooth val="0"/>
        </c:ser>
        <c:ser>
          <c:idx val="2"/>
          <c:order val="2"/>
          <c:tx>
            <c:v>YK</c:v>
          </c:tx>
          <c:spPr>
            <a:ln cmpd="sng" w="28575">
              <a:solidFill>
                <a:schemeClr val="accent3"/>
              </a:solidFill>
            </a:ln>
          </c:spPr>
          <c:marker>
            <c:symbol val="none"/>
          </c:marker>
          <c:cat>
            <c:strRef>
              <c:f>Samples!$A$29:$A$48</c:f>
            </c:strRef>
          </c:cat>
          <c:val>
            <c:numRef>
              <c:f>Samples!$D$29:$D$48</c:f>
              <c:numCache/>
            </c:numRef>
          </c:val>
          <c:smooth val="0"/>
        </c:ser>
        <c:axId val="767625294"/>
        <c:axId val="1948107266"/>
      </c:lineChart>
      <c:catAx>
        <c:axId val="7676252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48107266"/>
      </c:catAx>
      <c:valAx>
        <c:axId val="194810726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67625294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Samples!$G$53:$G$56</c:f>
            </c:strRef>
          </c:cat>
          <c:val>
            <c:numRef>
              <c:f>Samples!$H$53:$H$56</c:f>
              <c:numCache/>
            </c:numRef>
          </c:val>
        </c:ser>
        <c:axId val="787707097"/>
        <c:axId val="1600344947"/>
      </c:barChart>
      <c:catAx>
        <c:axId val="78770709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00344947"/>
      </c:catAx>
      <c:valAx>
        <c:axId val="16003449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87707097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ES 5</a:t>
            </a:r>
          </a:p>
        </c:rich>
      </c:tx>
      <c:overlay val="0"/>
    </c:title>
    <c:plotArea>
      <c:layout/>
      <c:lineChart>
        <c:ser>
          <c:idx val="0"/>
          <c:order val="0"/>
          <c:tx>
            <c:v>A</c:v>
          </c:tx>
          <c:spPr>
            <a:ln cmpd="sng" w="28575"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Exercises!$A$52:$A$63</c:f>
              <c:numCache/>
            </c:numRef>
          </c:val>
          <c:smooth val="0"/>
        </c:ser>
        <c:ser>
          <c:idx val="1"/>
          <c:order val="1"/>
          <c:tx>
            <c:v>B</c:v>
          </c:tx>
          <c:spPr>
            <a:ln cmpd="sng" w="28575"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Exercises!$B$52:$B$63</c:f>
              <c:numCache/>
            </c:numRef>
          </c:val>
          <c:smooth val="0"/>
        </c:ser>
        <c:axId val="1672174735"/>
        <c:axId val="1708229970"/>
      </c:lineChart>
      <c:catAx>
        <c:axId val="16721747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08229970"/>
      </c:catAx>
      <c:valAx>
        <c:axId val="17082299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72174735"/>
      </c:valAx>
    </c:plotArea>
    <c:legend>
      <c:legendPos val="b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p(X=k)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Exercises!$E$68:$E$78</c:f>
            </c:strRef>
          </c:cat>
          <c:val>
            <c:numRef>
              <c:f>Exercises!$F$68:$F$78</c:f>
              <c:numCache/>
            </c:numRef>
          </c:val>
        </c:ser>
        <c:axId val="1863067613"/>
        <c:axId val="726660551"/>
      </c:barChart>
      <c:catAx>
        <c:axId val="18630676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26660551"/>
      </c:catAx>
      <c:valAx>
        <c:axId val="7266605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63067613"/>
      </c:valAx>
    </c:plotArea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Exercises!$A$236:$A$243</c:f>
            </c:numRef>
          </c:xVal>
          <c:yVal>
            <c:numRef>
              <c:f>Exercises!$B$236:$B$243</c:f>
              <c:numCache/>
            </c:numRef>
          </c:yVal>
        </c:ser>
        <c:ser>
          <c:idx val="1"/>
          <c:order val="1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Exercises!$A$236:$A$243</c:f>
            </c:numRef>
          </c:xVal>
          <c:yVal>
            <c:numRef>
              <c:f>Exercises!$E$236:$E$243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4642622"/>
        <c:axId val="2074462276"/>
      </c:scatterChart>
      <c:valAx>
        <c:axId val="85464262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74462276"/>
      </c:valAx>
      <c:valAx>
        <c:axId val="207446227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46426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Relationship Id="rId3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390525</xdr:colOff>
      <xdr:row>2</xdr:row>
      <xdr:rowOff>47625</xdr:rowOff>
    </xdr:from>
    <xdr:ext cx="6362700" cy="27432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581025</xdr:colOff>
      <xdr:row>26</xdr:row>
      <xdr:rowOff>152400</xdr:rowOff>
    </xdr:from>
    <xdr:ext cx="4524375" cy="274320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9</xdr:col>
      <xdr:colOff>9525</xdr:colOff>
      <xdr:row>48</xdr:row>
      <xdr:rowOff>114300</xdr:rowOff>
    </xdr:from>
    <xdr:ext cx="3314700" cy="2190750"/>
    <xdr:graphicFrame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0</xdr:col>
      <xdr:colOff>66675</xdr:colOff>
      <xdr:row>65</xdr:row>
      <xdr:rowOff>9525</xdr:rowOff>
    </xdr:from>
    <xdr:ext cx="114300" cy="180975"/>
    <xdr:sp>
      <xdr:nvSpPr>
        <xdr:cNvPr id="3" name="Shape 3"/>
        <xdr:cNvSpPr txBox="1"/>
      </xdr:nvSpPr>
      <xdr:spPr>
        <a:xfrm>
          <a:off x="5292332" y="3693887"/>
          <a:ext cx="107337" cy="172227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0</xdr:colOff>
      <xdr:row>50</xdr:row>
      <xdr:rowOff>9525</xdr:rowOff>
    </xdr:from>
    <xdr:ext cx="3238500" cy="1724025"/>
    <xdr:graphicFrame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9525</xdr:colOff>
      <xdr:row>66</xdr:row>
      <xdr:rowOff>9525</xdr:rowOff>
    </xdr:from>
    <xdr:ext cx="3857625" cy="2019300"/>
    <xdr:graphicFrame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247</xdr:row>
      <xdr:rowOff>38100</xdr:rowOff>
    </xdr:from>
    <xdr:ext cx="5715000" cy="3533775"/>
    <xdr:graphicFrame>
      <xdr:nvGraphicFramePr>
        <xdr:cNvPr id="6" name="Chart 6" title="Gra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1.71"/>
    <col customWidth="1" min="4" max="6" width="8.71"/>
    <col customWidth="1" min="7" max="7" width="10.57"/>
    <col customWidth="1" min="8" max="10" width="8.71"/>
    <col customWidth="1" min="11" max="11" width="21.71"/>
    <col customWidth="1" min="12" max="12" width="8.71"/>
    <col customWidth="1" min="13" max="13" width="24.14"/>
    <col customWidth="1" min="14" max="14" width="8.71"/>
    <col customWidth="1" min="15" max="15" width="22.14"/>
    <col customWidth="1" min="16" max="26" width="8.71"/>
  </cols>
  <sheetData>
    <row r="1" ht="12.75" customHeight="1">
      <c r="A1" s="1" t="s">
        <v>0</v>
      </c>
    </row>
    <row r="2" ht="12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ht="12.75" customHeight="1">
      <c r="A3" s="1">
        <v>15.0</v>
      </c>
      <c r="B3" s="1">
        <v>1.0</v>
      </c>
      <c r="C3" s="1">
        <f t="shared" ref="C3:C10" si="1">+A3^2</f>
        <v>225</v>
      </c>
      <c r="D3" s="2">
        <f t="shared" ref="D3:D10" si="2">+A3*B3</f>
        <v>15</v>
      </c>
      <c r="E3" s="1">
        <f t="shared" ref="E3:E10" si="3">+A3*$P$6+$P$7</f>
        <v>1.743243243</v>
      </c>
      <c r="O3" s="1" t="s">
        <v>6</v>
      </c>
      <c r="P3" s="1">
        <v>8.0</v>
      </c>
    </row>
    <row r="4" ht="12.75" customHeight="1">
      <c r="A4" s="1">
        <v>20.0</v>
      </c>
      <c r="B4" s="1">
        <v>2.0</v>
      </c>
      <c r="C4" s="1">
        <f t="shared" si="1"/>
        <v>400</v>
      </c>
      <c r="D4" s="2">
        <f t="shared" si="2"/>
        <v>40</v>
      </c>
      <c r="E4" s="1">
        <f t="shared" si="3"/>
        <v>3.045045045</v>
      </c>
      <c r="O4" s="1" t="s">
        <v>7</v>
      </c>
    </row>
    <row r="5" ht="12.75" customHeight="1">
      <c r="A5" s="1">
        <v>25.0</v>
      </c>
      <c r="B5" s="1">
        <v>3.0</v>
      </c>
      <c r="C5" s="1">
        <f t="shared" si="1"/>
        <v>625</v>
      </c>
      <c r="D5" s="2">
        <f t="shared" si="2"/>
        <v>75</v>
      </c>
      <c r="E5" s="1">
        <f t="shared" si="3"/>
        <v>4.346846847</v>
      </c>
      <c r="R5" s="1" t="s">
        <v>8</v>
      </c>
    </row>
    <row r="6" ht="12.75" customHeight="1">
      <c r="A6" s="1">
        <v>30.0</v>
      </c>
      <c r="B6" s="1">
        <v>8.0</v>
      </c>
      <c r="C6" s="1">
        <f t="shared" si="1"/>
        <v>900</v>
      </c>
      <c r="D6" s="2">
        <f t="shared" si="2"/>
        <v>240</v>
      </c>
      <c r="E6" s="1">
        <f t="shared" si="3"/>
        <v>5.648648649</v>
      </c>
      <c r="O6" s="1" t="s">
        <v>9</v>
      </c>
      <c r="P6" s="1">
        <f>((8*D11)-(A11*B11))/((8*C11)-(A11*A11))</f>
        <v>0.2603603604</v>
      </c>
      <c r="R6" s="1">
        <f t="array" ref="R6">+LINEST(B3:B10,A3:A10)</f>
        <v>0.2603603604</v>
      </c>
    </row>
    <row r="7" ht="12.75" customHeight="1">
      <c r="A7" s="1">
        <v>35.0</v>
      </c>
      <c r="B7" s="1">
        <v>9.0</v>
      </c>
      <c r="C7" s="1">
        <f t="shared" si="1"/>
        <v>1225</v>
      </c>
      <c r="D7" s="2">
        <f t="shared" si="2"/>
        <v>315</v>
      </c>
      <c r="E7" s="1">
        <f t="shared" si="3"/>
        <v>6.95045045</v>
      </c>
      <c r="O7" s="1" t="s">
        <v>10</v>
      </c>
      <c r="P7" s="1">
        <f>+(B11-(P6*A11))/P3</f>
        <v>-2.162162162</v>
      </c>
    </row>
    <row r="8" ht="12.75" customHeight="1">
      <c r="A8" s="1">
        <v>40.0</v>
      </c>
      <c r="B8" s="1">
        <v>9.0</v>
      </c>
      <c r="C8" s="1">
        <f t="shared" si="1"/>
        <v>1600</v>
      </c>
      <c r="D8" s="2">
        <f t="shared" si="2"/>
        <v>360</v>
      </c>
      <c r="E8" s="1">
        <f t="shared" si="3"/>
        <v>8.252252252</v>
      </c>
    </row>
    <row r="9" ht="12.75" customHeight="1">
      <c r="A9" s="1">
        <v>50.0</v>
      </c>
      <c r="B9" s="1">
        <v>10.0</v>
      </c>
      <c r="C9" s="1">
        <f t="shared" si="1"/>
        <v>2500</v>
      </c>
      <c r="D9" s="2">
        <f t="shared" si="2"/>
        <v>500</v>
      </c>
      <c r="E9" s="1">
        <f t="shared" si="3"/>
        <v>10.85585586</v>
      </c>
    </row>
    <row r="10" ht="12.75" customHeight="1">
      <c r="A10" s="1">
        <v>55.0</v>
      </c>
      <c r="B10" s="1">
        <v>11.0</v>
      </c>
      <c r="C10" s="1">
        <f t="shared" si="1"/>
        <v>3025</v>
      </c>
      <c r="D10" s="2">
        <f t="shared" si="2"/>
        <v>605</v>
      </c>
      <c r="E10" s="1">
        <f t="shared" si="3"/>
        <v>12.15765766</v>
      </c>
    </row>
    <row r="11" ht="12.75" customHeight="1">
      <c r="A11" s="3">
        <f t="shared" ref="A11:D11" si="4">SUM(A3:A10)</f>
        <v>270</v>
      </c>
      <c r="B11" s="3">
        <f t="shared" si="4"/>
        <v>53</v>
      </c>
      <c r="C11" s="3">
        <f t="shared" si="4"/>
        <v>10500</v>
      </c>
      <c r="D11" s="4">
        <f t="shared" si="4"/>
        <v>2150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>
      <c r="A27" s="1" t="s">
        <v>0</v>
      </c>
    </row>
    <row r="28" ht="12.75" customHeight="1">
      <c r="A28" s="1" t="s">
        <v>1</v>
      </c>
      <c r="B28" s="1" t="s">
        <v>11</v>
      </c>
      <c r="C28" s="1" t="s">
        <v>12</v>
      </c>
      <c r="D28" s="1" t="s">
        <v>13</v>
      </c>
    </row>
    <row r="29" ht="12.75" customHeight="1">
      <c r="A29" s="1">
        <v>28.0</v>
      </c>
      <c r="B29" s="1">
        <v>0.0</v>
      </c>
      <c r="C29" s="1">
        <f t="shared" ref="C29:C45" si="5">+B32+3</f>
        <v>14</v>
      </c>
      <c r="D29" s="1">
        <v>0.0</v>
      </c>
    </row>
    <row r="30" ht="12.75" customHeight="1">
      <c r="A30" s="1">
        <v>29.0</v>
      </c>
      <c r="B30" s="1">
        <v>0.0</v>
      </c>
      <c r="C30" s="1">
        <f t="shared" si="5"/>
        <v>30</v>
      </c>
      <c r="D30" s="1">
        <v>0.0</v>
      </c>
    </row>
    <row r="31" ht="12.75" customHeight="1">
      <c r="A31" s="1">
        <v>30.0</v>
      </c>
      <c r="B31" s="1">
        <v>0.0</v>
      </c>
      <c r="C31" s="1">
        <f t="shared" si="5"/>
        <v>63</v>
      </c>
      <c r="D31" s="1">
        <v>0.0</v>
      </c>
    </row>
    <row r="32" ht="12.75" customHeight="1">
      <c r="A32" s="1">
        <v>31.0</v>
      </c>
      <c r="B32" s="1">
        <v>11.0</v>
      </c>
      <c r="C32" s="1">
        <f t="shared" si="5"/>
        <v>121</v>
      </c>
      <c r="D32" s="1">
        <f t="shared" ref="D32:D48" si="6">+B32*3</f>
        <v>33</v>
      </c>
    </row>
    <row r="33" ht="12.75" customHeight="1">
      <c r="A33" s="1">
        <v>32.0</v>
      </c>
      <c r="B33" s="1">
        <v>27.0</v>
      </c>
      <c r="C33" s="1">
        <f t="shared" si="5"/>
        <v>209</v>
      </c>
      <c r="D33" s="1">
        <f t="shared" si="6"/>
        <v>81</v>
      </c>
    </row>
    <row r="34" ht="12.75" customHeight="1">
      <c r="A34" s="1">
        <v>33.0</v>
      </c>
      <c r="B34" s="1">
        <v>60.0</v>
      </c>
      <c r="C34" s="1">
        <f t="shared" si="5"/>
        <v>322</v>
      </c>
      <c r="D34" s="1">
        <f t="shared" si="6"/>
        <v>180</v>
      </c>
    </row>
    <row r="35" ht="12.75" customHeight="1">
      <c r="A35" s="1">
        <v>34.0</v>
      </c>
      <c r="B35" s="1">
        <v>118.0</v>
      </c>
      <c r="C35" s="1">
        <f t="shared" si="5"/>
        <v>443</v>
      </c>
      <c r="D35" s="1">
        <f t="shared" si="6"/>
        <v>354</v>
      </c>
    </row>
    <row r="36" ht="12.75" customHeight="1">
      <c r="A36" s="1">
        <v>35.0</v>
      </c>
      <c r="B36" s="1">
        <v>206.0</v>
      </c>
      <c r="C36" s="1">
        <f t="shared" si="5"/>
        <v>542</v>
      </c>
      <c r="D36" s="1">
        <f t="shared" si="6"/>
        <v>618</v>
      </c>
      <c r="O36" s="5"/>
    </row>
    <row r="37" ht="12.75" customHeight="1">
      <c r="A37" s="1">
        <v>36.0</v>
      </c>
      <c r="B37" s="1">
        <v>319.0</v>
      </c>
      <c r="C37" s="1">
        <f t="shared" si="5"/>
        <v>589</v>
      </c>
      <c r="D37" s="1">
        <f t="shared" si="6"/>
        <v>957</v>
      </c>
    </row>
    <row r="38" ht="12.75" customHeight="1">
      <c r="A38" s="1">
        <v>37.0</v>
      </c>
      <c r="B38" s="1">
        <v>440.0</v>
      </c>
      <c r="C38" s="1">
        <f t="shared" si="5"/>
        <v>568</v>
      </c>
      <c r="D38" s="1">
        <f t="shared" si="6"/>
        <v>1320</v>
      </c>
    </row>
    <row r="39" ht="12.75" customHeight="1">
      <c r="A39" s="1">
        <v>38.0</v>
      </c>
      <c r="B39" s="1">
        <v>539.0</v>
      </c>
      <c r="C39" s="1">
        <f t="shared" si="5"/>
        <v>487</v>
      </c>
      <c r="D39" s="1">
        <f t="shared" si="6"/>
        <v>1617</v>
      </c>
    </row>
    <row r="40" ht="12.75" customHeight="1">
      <c r="A40" s="1">
        <v>39.0</v>
      </c>
      <c r="B40" s="1">
        <v>586.0</v>
      </c>
      <c r="C40" s="1">
        <f t="shared" si="5"/>
        <v>371</v>
      </c>
      <c r="D40" s="1">
        <f t="shared" si="6"/>
        <v>1758</v>
      </c>
    </row>
    <row r="41" ht="12.75" customHeight="1">
      <c r="A41" s="1">
        <v>40.0</v>
      </c>
      <c r="B41" s="1">
        <v>565.0</v>
      </c>
      <c r="C41" s="1">
        <f t="shared" si="5"/>
        <v>252</v>
      </c>
      <c r="D41" s="1">
        <f t="shared" si="6"/>
        <v>1695</v>
      </c>
    </row>
    <row r="42" ht="12.75" customHeight="1">
      <c r="A42" s="1">
        <v>41.0</v>
      </c>
      <c r="B42" s="1">
        <v>484.0</v>
      </c>
      <c r="C42" s="1">
        <f t="shared" si="5"/>
        <v>152</v>
      </c>
      <c r="D42" s="1">
        <f t="shared" si="6"/>
        <v>1452</v>
      </c>
      <c r="M42" s="6"/>
    </row>
    <row r="43" ht="12.75" customHeight="1">
      <c r="A43" s="1">
        <v>42.0</v>
      </c>
      <c r="B43" s="1">
        <v>368.0</v>
      </c>
      <c r="C43" s="1">
        <f t="shared" si="5"/>
        <v>82</v>
      </c>
      <c r="D43" s="1">
        <f t="shared" si="6"/>
        <v>1104</v>
      </c>
    </row>
    <row r="44" ht="12.75" customHeight="1">
      <c r="A44" s="1">
        <v>43.0</v>
      </c>
      <c r="B44" s="1">
        <v>249.0</v>
      </c>
      <c r="C44" s="1">
        <f t="shared" si="5"/>
        <v>41</v>
      </c>
      <c r="D44" s="1">
        <f t="shared" si="6"/>
        <v>747</v>
      </c>
    </row>
    <row r="45" ht="12.75" customHeight="1">
      <c r="A45" s="1">
        <v>44.0</v>
      </c>
      <c r="B45" s="1">
        <v>149.0</v>
      </c>
      <c r="C45" s="1">
        <f t="shared" si="5"/>
        <v>19</v>
      </c>
      <c r="D45" s="1">
        <f t="shared" si="6"/>
        <v>447</v>
      </c>
    </row>
    <row r="46" ht="12.75" customHeight="1">
      <c r="A46" s="1">
        <v>45.0</v>
      </c>
      <c r="B46" s="1">
        <v>79.0</v>
      </c>
      <c r="C46" s="1">
        <v>0.0</v>
      </c>
      <c r="D46" s="1">
        <f t="shared" si="6"/>
        <v>237</v>
      </c>
    </row>
    <row r="47" ht="12.75" customHeight="1">
      <c r="A47" s="1">
        <v>46.0</v>
      </c>
      <c r="B47" s="1">
        <v>38.0</v>
      </c>
      <c r="C47" s="1">
        <v>0.0</v>
      </c>
      <c r="D47" s="1">
        <f t="shared" si="6"/>
        <v>114</v>
      </c>
    </row>
    <row r="48" ht="12.75" customHeight="1">
      <c r="A48" s="1">
        <v>47.0</v>
      </c>
      <c r="B48" s="1">
        <v>16.0</v>
      </c>
      <c r="C48" s="1">
        <v>0.0</v>
      </c>
      <c r="D48" s="1">
        <f t="shared" si="6"/>
        <v>48</v>
      </c>
    </row>
    <row r="49" ht="12.75" customHeight="1"/>
    <row r="50" ht="12.75" customHeight="1"/>
    <row r="51" ht="12.75" customHeight="1">
      <c r="A51" s="1" t="s">
        <v>14</v>
      </c>
    </row>
    <row r="52" ht="12.75" customHeight="1">
      <c r="A52" s="1" t="s">
        <v>15</v>
      </c>
      <c r="F52" s="1" t="s">
        <v>16</v>
      </c>
      <c r="G52" s="1" t="s">
        <v>17</v>
      </c>
      <c r="H52" s="1" t="s">
        <v>18</v>
      </c>
    </row>
    <row r="53" ht="12.75" customHeight="1">
      <c r="A53" s="1" t="s">
        <v>19</v>
      </c>
      <c r="F53" s="1">
        <f t="shared" ref="F53:F56" si="7">+FACT(3)/(FACT(G53)*FACT(3 -G53))</f>
        <v>1</v>
      </c>
      <c r="G53" s="1">
        <v>0.0</v>
      </c>
      <c r="H53" s="1">
        <f t="shared" ref="H53:H56" si="8">F53*0.8^G53*(1-0.8)^(3-G53)</f>
        <v>0.008</v>
      </c>
    </row>
    <row r="54" ht="12.75" customHeight="1">
      <c r="A54" s="1" t="s">
        <v>20</v>
      </c>
      <c r="F54" s="1">
        <f t="shared" si="7"/>
        <v>3</v>
      </c>
      <c r="G54" s="1">
        <v>1.0</v>
      </c>
      <c r="H54" s="1">
        <f t="shared" si="8"/>
        <v>0.096</v>
      </c>
    </row>
    <row r="55" ht="12.75" customHeight="1">
      <c r="A55" s="1" t="s">
        <v>21</v>
      </c>
      <c r="F55" s="1">
        <f t="shared" si="7"/>
        <v>3</v>
      </c>
      <c r="G55" s="1">
        <v>2.0</v>
      </c>
      <c r="H55" s="1">
        <f t="shared" si="8"/>
        <v>0.384</v>
      </c>
    </row>
    <row r="56" ht="12.75" customHeight="1">
      <c r="F56" s="1">
        <f t="shared" si="7"/>
        <v>1</v>
      </c>
      <c r="G56" s="1">
        <v>3.0</v>
      </c>
      <c r="H56" s="1">
        <f t="shared" si="8"/>
        <v>0.512</v>
      </c>
    </row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>
      <c r="A64" s="1" t="s">
        <v>22</v>
      </c>
    </row>
    <row r="65" ht="12.75" customHeight="1">
      <c r="A65" s="1" t="s">
        <v>23</v>
      </c>
      <c r="B65" s="1">
        <v>1.0</v>
      </c>
      <c r="D65" s="1">
        <f>+(EXP(-B66)*B66^B67)/B67</f>
        <v>0.1010904292</v>
      </c>
    </row>
    <row r="66" ht="12.75" customHeight="1">
      <c r="A66" s="7" t="s">
        <v>24</v>
      </c>
      <c r="B66" s="1">
        <v>0.61</v>
      </c>
    </row>
    <row r="67" ht="12.75" customHeight="1">
      <c r="A67" s="1" t="s">
        <v>25</v>
      </c>
      <c r="B67" s="1">
        <v>2.0</v>
      </c>
    </row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14.71"/>
    <col customWidth="1" min="3" max="3" width="34.14"/>
    <col customWidth="1" min="4" max="4" width="18.29"/>
    <col customWidth="1" min="5" max="5" width="10.14"/>
    <col customWidth="1" min="6" max="6" width="20.43"/>
    <col customWidth="1" min="7" max="7" width="10.71"/>
    <col customWidth="1" min="8" max="8" width="14.71"/>
    <col customWidth="1" min="9" max="9" width="17.86"/>
    <col customWidth="1" min="10" max="10" width="18.14"/>
    <col customWidth="1" min="11" max="11" width="11.0"/>
    <col customWidth="1" min="12" max="12" width="9.29"/>
    <col customWidth="1" min="13" max="13" width="12.0"/>
    <col customWidth="1" min="14" max="14" width="8.71"/>
    <col customWidth="1" min="15" max="15" width="18.29"/>
    <col customWidth="1" min="16" max="26" width="8.71"/>
  </cols>
  <sheetData>
    <row r="1" ht="12.75" customHeight="1">
      <c r="A1" s="8" t="s">
        <v>26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ht="12.75" customHeight="1">
      <c r="A2" s="9"/>
      <c r="B2" s="9"/>
      <c r="C2" s="9"/>
      <c r="D2" s="9"/>
      <c r="E2" s="9"/>
      <c r="F2" s="9"/>
      <c r="G2" s="9"/>
      <c r="H2" s="9"/>
      <c r="I2" s="9"/>
      <c r="J2" s="9" t="s">
        <v>27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s="9"/>
      <c r="B3" s="9"/>
      <c r="C3" s="9"/>
      <c r="D3" s="9"/>
      <c r="E3" s="9"/>
      <c r="F3" s="9"/>
      <c r="G3" s="9"/>
      <c r="H3" s="9"/>
      <c r="I3" s="9"/>
      <c r="J3" s="9" t="s">
        <v>28</v>
      </c>
      <c r="K3" s="9">
        <v>5.0</v>
      </c>
      <c r="L3" s="9"/>
      <c r="M3" s="9">
        <f>+FACT(K3)/FACT(K3-K4)</f>
        <v>20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2.75" customHeight="1">
      <c r="A4" s="9"/>
      <c r="B4" s="9"/>
      <c r="C4" s="9"/>
      <c r="D4" s="9"/>
      <c r="E4" s="9"/>
      <c r="F4" s="9"/>
      <c r="G4" s="9"/>
      <c r="H4" s="9"/>
      <c r="I4" s="9"/>
      <c r="J4" s="9" t="s">
        <v>29</v>
      </c>
      <c r="K4" s="9">
        <v>2.0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2.75" customHeight="1">
      <c r="A5" s="9" t="s">
        <v>30</v>
      </c>
      <c r="B5" s="9" t="s">
        <v>31</v>
      </c>
      <c r="C5" s="9">
        <f>+FACT(5)</f>
        <v>120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2.75" customHeight="1">
      <c r="A6" s="9" t="s">
        <v>32</v>
      </c>
      <c r="B6" s="9" t="s">
        <v>33</v>
      </c>
      <c r="C6" s="9">
        <f>+FACT(32)</f>
        <v>2.63131E+35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2.75" customHeight="1">
      <c r="A7" s="9" t="s">
        <v>34</v>
      </c>
      <c r="B7" s="9"/>
      <c r="C7" s="9">
        <v>6.0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2.75" customHeight="1">
      <c r="A8" s="9" t="s">
        <v>35</v>
      </c>
      <c r="B8" s="9"/>
      <c r="C8" s="9">
        <v>21.0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2.75" customHeight="1">
      <c r="A9" s="9" t="s">
        <v>36</v>
      </c>
      <c r="B9" s="9"/>
      <c r="C9" s="9">
        <v>10.0</v>
      </c>
      <c r="D9" s="9"/>
      <c r="E9" s="9"/>
      <c r="F9" s="9"/>
      <c r="G9" s="9"/>
      <c r="H9" s="9"/>
      <c r="I9" s="9"/>
      <c r="J9" s="9" t="s">
        <v>35</v>
      </c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2.75" customHeight="1">
      <c r="A10" s="9"/>
      <c r="B10" s="9"/>
      <c r="C10" s="9"/>
      <c r="D10" s="9"/>
      <c r="E10" s="9"/>
      <c r="F10" s="9"/>
      <c r="G10" s="9"/>
      <c r="H10" s="9"/>
      <c r="I10" s="9"/>
      <c r="J10" s="9" t="s">
        <v>37</v>
      </c>
      <c r="K10" s="9">
        <v>6.0</v>
      </c>
      <c r="L10" s="9"/>
      <c r="M10" s="9">
        <f>+FACT(K10)/(FACT(K11)*FACT(K10-K11))</f>
        <v>15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2.75" customHeight="1">
      <c r="A11" s="9"/>
      <c r="B11" s="9"/>
      <c r="C11" s="9"/>
      <c r="D11" s="9"/>
      <c r="E11" s="9"/>
      <c r="F11" s="9"/>
      <c r="G11" s="9"/>
      <c r="H11" s="9"/>
      <c r="I11" s="9"/>
      <c r="J11" s="9" t="s">
        <v>29</v>
      </c>
      <c r="K11" s="9">
        <v>2.0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2.75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2.75" customHeight="1">
      <c r="A13" s="9"/>
      <c r="B13" s="9"/>
      <c r="C13" s="9"/>
      <c r="D13" s="9"/>
      <c r="E13" s="9"/>
      <c r="F13" s="9"/>
      <c r="G13" s="9"/>
      <c r="H13" s="9"/>
      <c r="I13" s="9"/>
      <c r="J13" s="9" t="s">
        <v>36</v>
      </c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2.75" customHeight="1">
      <c r="A14" s="9"/>
      <c r="B14" s="9"/>
      <c r="C14" s="9"/>
      <c r="D14" s="9"/>
      <c r="E14" s="9"/>
      <c r="F14" s="9"/>
      <c r="G14" s="9"/>
      <c r="H14" s="9"/>
      <c r="I14" s="9"/>
      <c r="J14" s="9" t="s">
        <v>28</v>
      </c>
      <c r="K14" s="9">
        <f>26+26+10</f>
        <v>62</v>
      </c>
      <c r="L14" s="9"/>
      <c r="M14" s="10">
        <f>62^10/10^9</f>
        <v>839299365.9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2.7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2.75" customHeight="1">
      <c r="A16" s="9"/>
      <c r="B16" s="9"/>
      <c r="C16" s="9"/>
      <c r="D16" s="9"/>
      <c r="E16" s="9"/>
      <c r="F16" s="9"/>
      <c r="G16" s="9"/>
      <c r="H16" s="9"/>
      <c r="I16" s="9"/>
      <c r="J16" s="9" t="s">
        <v>38</v>
      </c>
      <c r="K16" s="10">
        <f>365*24*60*60*10^9/10^9</f>
        <v>31536000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2.7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2.75" customHeight="1">
      <c r="A18" s="8" t="s">
        <v>39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2.75" customHeight="1">
      <c r="A19" s="9" t="s">
        <v>30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2.75" customHeight="1">
      <c r="A20" s="9" t="s">
        <v>40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2.7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2.75" customHeight="1">
      <c r="A22" s="9" t="s">
        <v>32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2.75" customHeight="1">
      <c r="A23" s="9" t="s">
        <v>41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2.75" customHeight="1">
      <c r="A24" s="9" t="s">
        <v>42</v>
      </c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2.7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2.75" customHeight="1">
      <c r="A26" s="9" t="s">
        <v>27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2.75" customHeight="1">
      <c r="A27" s="9">
        <v>1.0</v>
      </c>
      <c r="B27" s="9" t="s">
        <v>11</v>
      </c>
      <c r="C27" s="11">
        <v>0.99</v>
      </c>
      <c r="D27" s="9"/>
      <c r="E27" s="9">
        <v>2.0</v>
      </c>
      <c r="F27" s="9" t="s">
        <v>11</v>
      </c>
      <c r="G27" s="11">
        <v>0.1</v>
      </c>
      <c r="H27" s="9"/>
      <c r="I27" s="9">
        <v>3.0</v>
      </c>
      <c r="J27" s="9" t="s">
        <v>11</v>
      </c>
      <c r="K27" s="11">
        <v>10.0</v>
      </c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2.75" customHeight="1">
      <c r="A28" s="9"/>
      <c r="B28" s="9" t="s">
        <v>43</v>
      </c>
      <c r="C28" s="11">
        <v>0.1</v>
      </c>
      <c r="D28" s="9"/>
      <c r="E28" s="9"/>
      <c r="F28" s="9" t="s">
        <v>43</v>
      </c>
      <c r="G28" s="11">
        <v>0.99</v>
      </c>
      <c r="H28" s="9"/>
      <c r="I28" s="9"/>
      <c r="J28" s="9" t="s">
        <v>43</v>
      </c>
      <c r="K28" s="11">
        <v>0.01</v>
      </c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2.7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2.75" customHeight="1">
      <c r="A30" s="9" t="s">
        <v>44</v>
      </c>
      <c r="B30" s="9"/>
      <c r="C30" s="9"/>
      <c r="D30" s="9" t="s">
        <v>45</v>
      </c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2.75" customHeight="1">
      <c r="A31" s="12">
        <f>0.1*0.99*0.01</f>
        <v>0.00099</v>
      </c>
      <c r="B31" s="12">
        <f>1-A31</f>
        <v>0.99901</v>
      </c>
      <c r="C31" s="9"/>
      <c r="D31" s="13">
        <f>+C28*(1-G28)*(1-K28)</f>
        <v>0.00099</v>
      </c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2.7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2.75" customHeight="1">
      <c r="A33" s="9" t="s">
        <v>46</v>
      </c>
      <c r="B33" s="9"/>
      <c r="C33" s="9"/>
      <c r="D33" s="14" t="s">
        <v>47</v>
      </c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2.75" customHeight="1">
      <c r="A34" s="9">
        <v>1.0</v>
      </c>
      <c r="B34" s="9">
        <f>+C27*C28*10000</f>
        <v>990</v>
      </c>
      <c r="C34" s="9"/>
      <c r="D34" s="13">
        <f>(1-C28)*(1-G28)*(1-K28)</f>
        <v>0.00891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2.75" customHeight="1">
      <c r="A35" s="9">
        <v>2.0</v>
      </c>
      <c r="B35" s="9">
        <f>+G27*G28*10000</f>
        <v>990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2.75" customHeight="1">
      <c r="A36" s="9">
        <v>3.0</v>
      </c>
      <c r="B36" s="9">
        <f>+K27*K28*10000</f>
        <v>1000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2.7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2.75" customHeight="1">
      <c r="A38" s="9" t="s">
        <v>35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2.75" customHeight="1">
      <c r="A39" s="9" t="s">
        <v>48</v>
      </c>
      <c r="B39" s="10">
        <v>3.35E8</v>
      </c>
      <c r="C39" s="10">
        <f>+B40*B39</f>
        <v>10000</v>
      </c>
      <c r="D39" s="9"/>
      <c r="E39" s="9"/>
      <c r="F39" s="9"/>
      <c r="G39" s="11" t="s">
        <v>49</v>
      </c>
      <c r="H39" s="9" t="s">
        <v>50</v>
      </c>
      <c r="I39" s="9" t="s">
        <v>51</v>
      </c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2.75" customHeight="1">
      <c r="A40" s="9" t="s">
        <v>52</v>
      </c>
      <c r="B40" s="15">
        <f>10000/B39</f>
        <v>0.00002985074627</v>
      </c>
      <c r="C40" s="9"/>
      <c r="D40" s="9"/>
      <c r="E40" s="9"/>
      <c r="F40" s="9" t="s">
        <v>53</v>
      </c>
      <c r="G40" s="10">
        <f>+B39*B40*B41</f>
        <v>9900</v>
      </c>
      <c r="H40" s="10">
        <f>+(B39*(1-B40))*B42</f>
        <v>3349900</v>
      </c>
      <c r="I40" s="10">
        <f t="shared" ref="I40:I42" si="1">+G40+H40</f>
        <v>3359800</v>
      </c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2.75" customHeight="1">
      <c r="A41" s="9" t="s">
        <v>54</v>
      </c>
      <c r="B41" s="11">
        <v>0.99</v>
      </c>
      <c r="C41" s="10">
        <f>+B39*B41</f>
        <v>331650000</v>
      </c>
      <c r="D41" s="9"/>
      <c r="E41" s="9"/>
      <c r="F41" s="9" t="s">
        <v>55</v>
      </c>
      <c r="G41" s="10">
        <f>+B39*B40*B42</f>
        <v>100</v>
      </c>
      <c r="H41" s="10">
        <f>+(B39*(1-B40))*B41</f>
        <v>331640100</v>
      </c>
      <c r="I41" s="10">
        <f t="shared" si="1"/>
        <v>331640200</v>
      </c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2.75" customHeight="1">
      <c r="A42" s="9" t="s">
        <v>56</v>
      </c>
      <c r="B42" s="11">
        <v>0.01</v>
      </c>
      <c r="C42" s="9"/>
      <c r="D42" s="9"/>
      <c r="E42" s="9"/>
      <c r="F42" s="9" t="s">
        <v>51</v>
      </c>
      <c r="G42" s="10">
        <f t="shared" ref="G42:H42" si="2">+G40+G41</f>
        <v>10000</v>
      </c>
      <c r="H42" s="10">
        <f t="shared" si="2"/>
        <v>334990000</v>
      </c>
      <c r="I42" s="10">
        <f t="shared" si="1"/>
        <v>335000000</v>
      </c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2.7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2.75" customHeight="1">
      <c r="A44" s="9" t="s">
        <v>57</v>
      </c>
      <c r="B44" s="16">
        <f>+C39/B39</f>
        <v>0.00002985074627</v>
      </c>
      <c r="C44" s="9" t="s">
        <v>58</v>
      </c>
      <c r="D44" s="9"/>
      <c r="E44" s="9"/>
      <c r="F44" s="9"/>
      <c r="G44" s="9"/>
      <c r="H44" s="9" t="s">
        <v>59</v>
      </c>
      <c r="I44" s="9"/>
      <c r="J44" s="17">
        <f>+(B46*B44)/B45</f>
        <v>0.002946603965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2.75" customHeight="1">
      <c r="A45" s="9" t="s">
        <v>60</v>
      </c>
      <c r="B45" s="15">
        <f>+I40/B39</f>
        <v>0.01002925373</v>
      </c>
      <c r="C45" s="15" t="s">
        <v>61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2.75" customHeight="1">
      <c r="A46" s="9" t="s">
        <v>62</v>
      </c>
      <c r="B46" s="11">
        <f>+B41</f>
        <v>0.99</v>
      </c>
      <c r="C46" s="9" t="s">
        <v>63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2.75" customHeight="1">
      <c r="A47" s="9" t="s">
        <v>64</v>
      </c>
      <c r="B47" s="18">
        <f>+G40/I40</f>
        <v>0.002946603965</v>
      </c>
      <c r="C47" s="9" t="s">
        <v>65</v>
      </c>
      <c r="D47" s="9"/>
      <c r="E47" s="9"/>
      <c r="F47" s="9"/>
      <c r="G47" s="9"/>
      <c r="H47" s="15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2.7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2.7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2.75" customHeight="1">
      <c r="A50" s="9" t="s">
        <v>36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2.75" customHeight="1">
      <c r="A51" s="9" t="s">
        <v>66</v>
      </c>
      <c r="B51" s="9" t="s">
        <v>67</v>
      </c>
      <c r="C51" s="9" t="s">
        <v>68</v>
      </c>
      <c r="D51" s="9" t="s">
        <v>69</v>
      </c>
      <c r="E51" s="9" t="s">
        <v>70</v>
      </c>
      <c r="F51" s="9" t="s">
        <v>71</v>
      </c>
      <c r="G51" s="9" t="s">
        <v>72</v>
      </c>
      <c r="H51" s="9"/>
      <c r="I51" s="9"/>
      <c r="J51" s="9" t="s">
        <v>66</v>
      </c>
      <c r="K51" s="9" t="s">
        <v>67</v>
      </c>
      <c r="L51" s="9" t="s">
        <v>73</v>
      </c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2.75" customHeight="1">
      <c r="A52" s="19">
        <v>1.7</v>
      </c>
      <c r="B52" s="19">
        <v>-0.1</v>
      </c>
      <c r="C52" s="19">
        <f t="shared" ref="C52:C63" si="4">+(A52-$J$52)^2</f>
        <v>0.225625</v>
      </c>
      <c r="D52" s="19">
        <f t="shared" ref="D52:D63" si="5">+(B52-$K$52)^2</f>
        <v>1.983402778</v>
      </c>
      <c r="E52" s="19">
        <f t="shared" ref="E52:E63" si="6">+A52-$J$52</f>
        <v>0.475</v>
      </c>
      <c r="F52" s="19">
        <f t="shared" ref="F52:F63" si="7">+B52-$K$52</f>
        <v>-1.408333333</v>
      </c>
      <c r="G52" s="9">
        <f>+COUNT(A52:A63)-1</f>
        <v>11</v>
      </c>
      <c r="H52" s="9"/>
      <c r="I52" s="19" t="s">
        <v>74</v>
      </c>
      <c r="J52" s="19">
        <f t="shared" ref="J52:K52" si="3">+SUM(A52:A63)/COUNT(A52:A63)</f>
        <v>1.225</v>
      </c>
      <c r="K52" s="19">
        <f t="shared" si="3"/>
        <v>1.308333333</v>
      </c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2.75" customHeight="1">
      <c r="A53" s="19">
        <v>2.4</v>
      </c>
      <c r="B53" s="19">
        <v>-0.3</v>
      </c>
      <c r="C53" s="19">
        <f t="shared" si="4"/>
        <v>1.380625</v>
      </c>
      <c r="D53" s="19">
        <f t="shared" si="5"/>
        <v>2.586736111</v>
      </c>
      <c r="E53" s="19">
        <f t="shared" si="6"/>
        <v>1.175</v>
      </c>
      <c r="F53" s="19">
        <f t="shared" si="7"/>
        <v>-1.608333333</v>
      </c>
      <c r="G53" s="9"/>
      <c r="H53" s="9"/>
      <c r="I53" s="19" t="s">
        <v>75</v>
      </c>
      <c r="J53" s="19">
        <f>+SUM(C52:C63)/G52</f>
        <v>5.294772727</v>
      </c>
      <c r="K53" s="19">
        <f>+SUM(D52:D63)/G52</f>
        <v>3.328106061</v>
      </c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2.75" customHeight="1">
      <c r="A54" s="19">
        <v>0.1</v>
      </c>
      <c r="B54" s="19">
        <v>3.2</v>
      </c>
      <c r="C54" s="19">
        <f t="shared" si="4"/>
        <v>1.265625</v>
      </c>
      <c r="D54" s="19">
        <f t="shared" si="5"/>
        <v>3.578402778</v>
      </c>
      <c r="E54" s="19">
        <f t="shared" si="6"/>
        <v>-1.125</v>
      </c>
      <c r="F54" s="19">
        <f t="shared" si="7"/>
        <v>1.891666667</v>
      </c>
      <c r="G54" s="9"/>
      <c r="H54" s="9"/>
      <c r="I54" s="19" t="s">
        <v>76</v>
      </c>
      <c r="J54" s="19">
        <f t="shared" ref="J54:K54" si="8">+SQRT(J53)</f>
        <v>2.301037315</v>
      </c>
      <c r="K54" s="19">
        <f t="shared" si="8"/>
        <v>1.824309749</v>
      </c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2.75" customHeight="1">
      <c r="A55" s="19">
        <v>0.5</v>
      </c>
      <c r="B55" s="19">
        <v>2.5</v>
      </c>
      <c r="C55" s="19">
        <f t="shared" si="4"/>
        <v>0.525625</v>
      </c>
      <c r="D55" s="19">
        <f t="shared" si="5"/>
        <v>1.420069444</v>
      </c>
      <c r="E55" s="19">
        <f t="shared" si="6"/>
        <v>-0.725</v>
      </c>
      <c r="F55" s="19">
        <f t="shared" si="7"/>
        <v>1.191666667</v>
      </c>
      <c r="G55" s="9"/>
      <c r="H55" s="9"/>
      <c r="I55" s="19" t="s">
        <v>77</v>
      </c>
      <c r="J55" s="19"/>
      <c r="K55" s="19"/>
      <c r="L55" s="20">
        <f>+SUMPRODUCT(E52:E63,F52:F63)/G52</f>
        <v>-3.672954545</v>
      </c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2.75" customHeight="1">
      <c r="A56" s="19">
        <v>-2.5</v>
      </c>
      <c r="B56" s="19">
        <v>5.2</v>
      </c>
      <c r="C56" s="19">
        <f t="shared" si="4"/>
        <v>13.875625</v>
      </c>
      <c r="D56" s="19">
        <f t="shared" si="5"/>
        <v>15.14506944</v>
      </c>
      <c r="E56" s="19">
        <f t="shared" si="6"/>
        <v>-3.725</v>
      </c>
      <c r="F56" s="19">
        <f t="shared" si="7"/>
        <v>3.891666667</v>
      </c>
      <c r="G56" s="19"/>
      <c r="H56" s="9"/>
      <c r="I56" s="19" t="s">
        <v>78</v>
      </c>
      <c r="J56" s="9"/>
      <c r="K56" s="9"/>
      <c r="L56" s="21">
        <f>+L55/(J54*K54)</f>
        <v>-0.8749703032</v>
      </c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2.75" customHeight="1">
      <c r="A57" s="19">
        <v>6.6</v>
      </c>
      <c r="B57" s="19">
        <v>-1.3</v>
      </c>
      <c r="C57" s="19">
        <f t="shared" si="4"/>
        <v>28.890625</v>
      </c>
      <c r="D57" s="19">
        <f t="shared" si="5"/>
        <v>6.803402778</v>
      </c>
      <c r="E57" s="19">
        <f t="shared" si="6"/>
        <v>5.375</v>
      </c>
      <c r="F57" s="19">
        <f t="shared" si="7"/>
        <v>-2.608333333</v>
      </c>
      <c r="G57" s="19"/>
      <c r="H57" s="1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2.75" customHeight="1">
      <c r="A58" s="19">
        <v>1.5</v>
      </c>
      <c r="B58" s="19">
        <v>0.2</v>
      </c>
      <c r="C58" s="19">
        <f t="shared" si="4"/>
        <v>0.075625</v>
      </c>
      <c r="D58" s="19">
        <f t="shared" si="5"/>
        <v>1.228402778</v>
      </c>
      <c r="E58" s="19">
        <f t="shared" si="6"/>
        <v>0.275</v>
      </c>
      <c r="F58" s="19">
        <f t="shared" si="7"/>
        <v>-1.108333333</v>
      </c>
      <c r="G58" s="19"/>
      <c r="H58" s="1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2.75" customHeight="1">
      <c r="A59" s="19">
        <v>0.2</v>
      </c>
      <c r="B59" s="19">
        <v>1.8</v>
      </c>
      <c r="C59" s="19">
        <f t="shared" si="4"/>
        <v>1.050625</v>
      </c>
      <c r="D59" s="19">
        <f t="shared" si="5"/>
        <v>0.2417361111</v>
      </c>
      <c r="E59" s="19">
        <f t="shared" si="6"/>
        <v>-1.025</v>
      </c>
      <c r="F59" s="19">
        <f t="shared" si="7"/>
        <v>0.4916666667</v>
      </c>
      <c r="G59" s="19"/>
      <c r="H59" s="1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2.75" customHeight="1">
      <c r="A60" s="19">
        <v>0.1</v>
      </c>
      <c r="B60" s="19">
        <v>2.2</v>
      </c>
      <c r="C60" s="19">
        <f t="shared" si="4"/>
        <v>1.265625</v>
      </c>
      <c r="D60" s="19">
        <f t="shared" si="5"/>
        <v>0.7950694444</v>
      </c>
      <c r="E60" s="19">
        <f t="shared" si="6"/>
        <v>-1.125</v>
      </c>
      <c r="F60" s="19">
        <f t="shared" si="7"/>
        <v>0.8916666667</v>
      </c>
      <c r="G60" s="19"/>
      <c r="H60" s="1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2.75" customHeight="1">
      <c r="A61" s="19">
        <v>2.1</v>
      </c>
      <c r="B61" s="19">
        <v>0.3</v>
      </c>
      <c r="C61" s="19">
        <f t="shared" si="4"/>
        <v>0.765625</v>
      </c>
      <c r="D61" s="19">
        <f t="shared" si="5"/>
        <v>1.016736111</v>
      </c>
      <c r="E61" s="19">
        <f t="shared" si="6"/>
        <v>0.875</v>
      </c>
      <c r="F61" s="19">
        <f t="shared" si="7"/>
        <v>-1.008333333</v>
      </c>
      <c r="G61" s="19"/>
      <c r="H61" s="1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2.75" customHeight="1">
      <c r="A62" s="19">
        <v>3.1</v>
      </c>
      <c r="B62" s="19">
        <v>0.1</v>
      </c>
      <c r="C62" s="19">
        <f t="shared" si="4"/>
        <v>3.515625</v>
      </c>
      <c r="D62" s="19">
        <f t="shared" si="5"/>
        <v>1.460069444</v>
      </c>
      <c r="E62" s="19">
        <f t="shared" si="6"/>
        <v>1.875</v>
      </c>
      <c r="F62" s="19">
        <f t="shared" si="7"/>
        <v>-1.208333333</v>
      </c>
      <c r="G62" s="19"/>
      <c r="H62" s="1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2.75" customHeight="1">
      <c r="A63" s="19">
        <v>-1.1</v>
      </c>
      <c r="B63" s="19">
        <v>1.9</v>
      </c>
      <c r="C63" s="19">
        <f t="shared" si="4"/>
        <v>5.405625</v>
      </c>
      <c r="D63" s="19">
        <f t="shared" si="5"/>
        <v>0.3500694444</v>
      </c>
      <c r="E63" s="19">
        <f t="shared" si="6"/>
        <v>-2.325</v>
      </c>
      <c r="F63" s="19">
        <f t="shared" si="7"/>
        <v>0.5916666667</v>
      </c>
      <c r="G63" s="19"/>
      <c r="H63" s="1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2.7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2.7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2.75" customHeight="1">
      <c r="A66" s="22" t="s">
        <v>79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2.75" customHeight="1">
      <c r="A67" s="9" t="s">
        <v>80</v>
      </c>
      <c r="B67" s="11">
        <v>0.92</v>
      </c>
      <c r="C67" s="9"/>
      <c r="D67" s="9" t="s">
        <v>16</v>
      </c>
      <c r="E67" s="9" t="s">
        <v>17</v>
      </c>
      <c r="F67" s="9" t="s">
        <v>18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2.75" customHeight="1">
      <c r="A68" s="9" t="s">
        <v>28</v>
      </c>
      <c r="B68" s="9">
        <v>10.0</v>
      </c>
      <c r="C68" s="9"/>
      <c r="D68" s="9">
        <f t="shared" ref="D68:D78" si="9">+FACT(10)/(FACT(E68)*FACT(10 -E68))</f>
        <v>1</v>
      </c>
      <c r="E68" s="9">
        <v>0.0</v>
      </c>
      <c r="F68" s="23">
        <f t="shared" ref="F68:F78" si="10">D68*0.92^E68*(1-0.92)^(10-E68)</f>
        <v>0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2.75" customHeight="1">
      <c r="A69" s="9" t="s">
        <v>29</v>
      </c>
      <c r="B69" s="9">
        <v>9.0</v>
      </c>
      <c r="C69" s="9"/>
      <c r="D69" s="9">
        <f t="shared" si="9"/>
        <v>10</v>
      </c>
      <c r="E69" s="9">
        <v>1.0</v>
      </c>
      <c r="F69" s="23">
        <f t="shared" si="10"/>
        <v>0.000000001234803098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2.75" customHeight="1">
      <c r="A70" s="9"/>
      <c r="B70" s="9"/>
      <c r="C70" s="9"/>
      <c r="D70" s="9">
        <f t="shared" si="9"/>
        <v>45</v>
      </c>
      <c r="E70" s="9">
        <v>2.0</v>
      </c>
      <c r="F70" s="23">
        <f t="shared" si="10"/>
        <v>0.0000000639010603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2.75" customHeight="1">
      <c r="A71" s="9"/>
      <c r="B71" s="9"/>
      <c r="C71" s="9"/>
      <c r="D71" s="9">
        <f t="shared" si="9"/>
        <v>120</v>
      </c>
      <c r="E71" s="9">
        <v>3.0</v>
      </c>
      <c r="F71" s="23">
        <f t="shared" si="10"/>
        <v>0.000001959632516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2.75" customHeight="1">
      <c r="A72" s="9"/>
      <c r="B72" s="9"/>
      <c r="C72" s="9"/>
      <c r="D72" s="9">
        <f t="shared" si="9"/>
        <v>210</v>
      </c>
      <c r="E72" s="9">
        <v>4.0</v>
      </c>
      <c r="F72" s="23">
        <f t="shared" si="10"/>
        <v>0.00003943760438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2.75" customHeight="1">
      <c r="A73" s="9"/>
      <c r="B73" s="9"/>
      <c r="C73" s="9"/>
      <c r="D73" s="9">
        <f t="shared" si="9"/>
        <v>252</v>
      </c>
      <c r="E73" s="9">
        <v>5.0</v>
      </c>
      <c r="F73" s="23">
        <f t="shared" si="10"/>
        <v>0.0005442389405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2.75" customHeight="1">
      <c r="A74" s="9"/>
      <c r="B74" s="9"/>
      <c r="C74" s="9"/>
      <c r="D74" s="9">
        <f t="shared" si="9"/>
        <v>210</v>
      </c>
      <c r="E74" s="9">
        <v>6.0</v>
      </c>
      <c r="F74" s="23">
        <f t="shared" si="10"/>
        <v>0.00521562318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2.75" customHeight="1">
      <c r="A75" s="9"/>
      <c r="B75" s="9"/>
      <c r="C75" s="9"/>
      <c r="D75" s="9">
        <f t="shared" si="9"/>
        <v>120</v>
      </c>
      <c r="E75" s="9">
        <v>7.0</v>
      </c>
      <c r="F75" s="23">
        <f t="shared" si="10"/>
        <v>0.03427409518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2.75" customHeight="1">
      <c r="A76" s="9"/>
      <c r="B76" s="9"/>
      <c r="C76" s="9"/>
      <c r="D76" s="9">
        <f t="shared" si="9"/>
        <v>45</v>
      </c>
      <c r="E76" s="9">
        <v>8.0</v>
      </c>
      <c r="F76" s="23">
        <f t="shared" si="10"/>
        <v>0.1478070355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2.75" customHeight="1">
      <c r="A77" s="9"/>
      <c r="B77" s="9"/>
      <c r="C77" s="9"/>
      <c r="D77" s="9">
        <f t="shared" si="9"/>
        <v>10</v>
      </c>
      <c r="E77" s="9">
        <v>9.0</v>
      </c>
      <c r="F77" s="23">
        <f t="shared" si="10"/>
        <v>0.3777290906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2.75" customHeight="1">
      <c r="A78" s="9"/>
      <c r="B78" s="9"/>
      <c r="C78" s="9"/>
      <c r="D78" s="9">
        <f t="shared" si="9"/>
        <v>1</v>
      </c>
      <c r="E78" s="9">
        <v>10.0</v>
      </c>
      <c r="F78" s="23">
        <f t="shared" si="10"/>
        <v>0.4343884542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2.75" customHeight="1">
      <c r="A79" s="9"/>
      <c r="B79" s="9"/>
      <c r="C79" s="9"/>
      <c r="D79" s="9"/>
      <c r="E79" s="9"/>
      <c r="F79" s="23">
        <f>SUM(F68:F78)</f>
        <v>1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2.7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2.75" customHeight="1">
      <c r="A81" s="9" t="s">
        <v>81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2.75" customHeight="1">
      <c r="A82" s="9" t="s">
        <v>82</v>
      </c>
      <c r="B82" s="9">
        <v>0.09</v>
      </c>
      <c r="C82" s="9"/>
      <c r="D82" s="9" t="s">
        <v>83</v>
      </c>
      <c r="E82" s="9">
        <f>+(B84-B82)/B83</f>
        <v>1.192666667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2.75" customHeight="1">
      <c r="A83" s="9" t="s">
        <v>84</v>
      </c>
      <c r="B83" s="9">
        <v>0.15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2.75" customHeight="1">
      <c r="A84" s="9" t="s">
        <v>85</v>
      </c>
      <c r="B84" s="9">
        <v>0.2689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2.7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2.75" customHeight="1">
      <c r="A86" s="9" t="s">
        <v>86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2.75" customHeight="1">
      <c r="A87" s="9" t="s">
        <v>87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2.75" customHeight="1">
      <c r="A88" s="9" t="s">
        <v>88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2.75" customHeight="1">
      <c r="A89" s="9" t="s">
        <v>89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2.75" customHeight="1">
      <c r="A90" s="9" t="s">
        <v>90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2.75" customHeight="1">
      <c r="A91" s="9"/>
      <c r="B91" s="9" t="s">
        <v>91</v>
      </c>
      <c r="C91" s="9" t="s">
        <v>92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2.75" customHeight="1">
      <c r="A92" s="9">
        <v>1.0</v>
      </c>
      <c r="B92" s="10">
        <v>38123.0</v>
      </c>
      <c r="C92" s="10">
        <v>1000000.0</v>
      </c>
      <c r="D92" s="24">
        <f t="shared" ref="D92:D103" si="11">+B92/C92</f>
        <v>0.038123</v>
      </c>
      <c r="E92" s="25">
        <f t="shared" ref="E92:E103" si="12">+(D92-$H$92)^2</f>
        <v>0.00000003410617474</v>
      </c>
      <c r="F92" s="13"/>
      <c r="G92" s="9" t="s">
        <v>93</v>
      </c>
      <c r="H92" s="25">
        <f>+B104/C104</f>
        <v>0.03830767857</v>
      </c>
      <c r="I92" s="9"/>
      <c r="J92" s="26">
        <f>+(H94-H92)/H93</f>
        <v>1.661818923</v>
      </c>
      <c r="K92" s="27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2.75" customHeight="1">
      <c r="A93" s="9">
        <v>2.0</v>
      </c>
      <c r="B93" s="10">
        <v>35546.0</v>
      </c>
      <c r="C93" s="10">
        <v>900000.0</v>
      </c>
      <c r="D93" s="24">
        <f t="shared" si="11"/>
        <v>0.03949555556</v>
      </c>
      <c r="E93" s="25">
        <f t="shared" si="12"/>
        <v>0.000001411051729</v>
      </c>
      <c r="F93" s="9"/>
      <c r="G93" s="9" t="s">
        <v>94</v>
      </c>
      <c r="H93" s="28">
        <f>+_xlfn.STDEV.S(D92:D103)</f>
        <v>0.004027106284</v>
      </c>
      <c r="I93" s="9"/>
      <c r="J93" s="9">
        <v>0.9515</v>
      </c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2.75" customHeight="1">
      <c r="A94" s="9">
        <v>3.0</v>
      </c>
      <c r="B94" s="10">
        <v>41593.0</v>
      </c>
      <c r="C94" s="10">
        <v>1000000.0</v>
      </c>
      <c r="D94" s="24">
        <f t="shared" si="11"/>
        <v>0.041593</v>
      </c>
      <c r="E94" s="25">
        <f t="shared" si="12"/>
        <v>0.00001079333689</v>
      </c>
      <c r="F94" s="9"/>
      <c r="G94" s="9" t="s">
        <v>95</v>
      </c>
      <c r="H94" s="9">
        <f>45000/1000000</f>
        <v>0.045</v>
      </c>
      <c r="I94" s="9"/>
      <c r="J94" s="12">
        <f>1-J93</f>
        <v>0.0485</v>
      </c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2.75" customHeight="1">
      <c r="A95" s="9">
        <v>4.0</v>
      </c>
      <c r="B95" s="10">
        <v>18555.0</v>
      </c>
      <c r="C95" s="10">
        <v>500000.0</v>
      </c>
      <c r="D95" s="24">
        <f t="shared" si="11"/>
        <v>0.03711</v>
      </c>
      <c r="E95" s="25">
        <f t="shared" si="12"/>
        <v>0.00000143443396</v>
      </c>
      <c r="F95" s="9"/>
      <c r="G95" s="9"/>
      <c r="H95" s="9"/>
      <c r="I95" s="9"/>
      <c r="J95" s="12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2.75" customHeight="1">
      <c r="A96" s="9">
        <v>5.0</v>
      </c>
      <c r="B96" s="10">
        <v>39346.0</v>
      </c>
      <c r="C96" s="10">
        <v>1000000.0</v>
      </c>
      <c r="D96" s="24">
        <f t="shared" si="11"/>
        <v>0.039346</v>
      </c>
      <c r="E96" s="25">
        <f t="shared" si="12"/>
        <v>0.000001078111389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2.75" customHeight="1">
      <c r="A97" s="9">
        <v>6.0</v>
      </c>
      <c r="B97" s="10">
        <v>31008.0</v>
      </c>
      <c r="C97" s="10">
        <v>750000.0</v>
      </c>
      <c r="D97" s="24">
        <f t="shared" si="11"/>
        <v>0.041344</v>
      </c>
      <c r="E97" s="25">
        <f t="shared" si="12"/>
        <v>0.000009219247818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2.75" customHeight="1">
      <c r="A98" s="9">
        <v>7.0</v>
      </c>
      <c r="B98" s="10">
        <v>37993.0</v>
      </c>
      <c r="C98" s="10">
        <v>1000000.0</v>
      </c>
      <c r="D98" s="24">
        <f t="shared" si="11"/>
        <v>0.037993</v>
      </c>
      <c r="E98" s="25">
        <f t="shared" si="12"/>
        <v>0.00000009902260332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2.75" customHeight="1">
      <c r="A99" s="9">
        <v>8.0</v>
      </c>
      <c r="B99" s="10">
        <v>44663.0</v>
      </c>
      <c r="C99" s="10">
        <v>1500000.0</v>
      </c>
      <c r="D99" s="24">
        <f t="shared" si="11"/>
        <v>0.02977533333</v>
      </c>
      <c r="E99" s="25">
        <f t="shared" si="12"/>
        <v>0.00007280091526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2.75" customHeight="1">
      <c r="A100" s="9">
        <v>9.0</v>
      </c>
      <c r="B100" s="10">
        <v>41221.0</v>
      </c>
      <c r="C100" s="10">
        <v>1200000.0</v>
      </c>
      <c r="D100" s="24">
        <f t="shared" si="11"/>
        <v>0.03435083333</v>
      </c>
      <c r="E100" s="25">
        <f t="shared" si="12"/>
        <v>0.00001565662424</v>
      </c>
      <c r="F100" s="9"/>
      <c r="G100" s="9"/>
      <c r="H100" s="9"/>
      <c r="I100" s="9"/>
      <c r="J100" s="13">
        <f>1-0.9332</f>
        <v>0.0668</v>
      </c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2.75" customHeight="1">
      <c r="A101" s="9">
        <v>10.0</v>
      </c>
      <c r="B101" s="10">
        <v>37063.0</v>
      </c>
      <c r="C101" s="10">
        <v>850000.0</v>
      </c>
      <c r="D101" s="24">
        <f t="shared" si="11"/>
        <v>0.04360352941</v>
      </c>
      <c r="E101" s="25">
        <f t="shared" si="12"/>
        <v>0.00002804603612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2.75" customHeight="1">
      <c r="A102" s="9">
        <v>11.0</v>
      </c>
      <c r="B102" s="10">
        <v>42010.0</v>
      </c>
      <c r="C102" s="10">
        <v>1000000.0</v>
      </c>
      <c r="D102" s="24">
        <f t="shared" si="11"/>
        <v>0.04201</v>
      </c>
      <c r="E102" s="25">
        <f t="shared" si="12"/>
        <v>0.00001370718396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2.75" customHeight="1">
      <c r="A103" s="9">
        <v>12.0</v>
      </c>
      <c r="B103" s="10">
        <v>21925.0</v>
      </c>
      <c r="C103" s="10">
        <v>500000.0</v>
      </c>
      <c r="D103" s="24">
        <f t="shared" si="11"/>
        <v>0.04385</v>
      </c>
      <c r="E103" s="25">
        <f t="shared" si="12"/>
        <v>0.00003071732682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2.75" customHeight="1">
      <c r="A104" s="9"/>
      <c r="B104" s="10">
        <f t="shared" ref="B104:E104" si="13">SUM(B92:B103)</f>
        <v>429046</v>
      </c>
      <c r="C104" s="10">
        <f t="shared" si="13"/>
        <v>11200000</v>
      </c>
      <c r="D104" s="10">
        <f t="shared" si="13"/>
        <v>0.4685942516</v>
      </c>
      <c r="E104" s="25">
        <f t="shared" si="13"/>
        <v>0.000184997397</v>
      </c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2.7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2.7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2.7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2.75" customHeight="1">
      <c r="A108" s="8" t="s">
        <v>96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2.75" customHeight="1">
      <c r="A109" s="9" t="s">
        <v>97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2.75" customHeight="1">
      <c r="A110" s="9" t="s">
        <v>98</v>
      </c>
      <c r="B110" s="9" t="s">
        <v>99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2.75" customHeight="1">
      <c r="A111" s="9"/>
      <c r="B111" s="9"/>
      <c r="C111" s="9"/>
      <c r="D111" s="9" t="s">
        <v>100</v>
      </c>
      <c r="E111" s="9"/>
      <c r="F111" s="9" t="s">
        <v>101</v>
      </c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2.75" customHeight="1">
      <c r="A112" s="9" t="s">
        <v>28</v>
      </c>
      <c r="B112" s="9">
        <v>90.0</v>
      </c>
      <c r="C112" s="9"/>
      <c r="D112" s="19">
        <f>+FACT(B112)/(FACT(B113)*(FACT(B112-B113)))</f>
        <v>43949268</v>
      </c>
      <c r="E112" s="9"/>
      <c r="F112" s="29">
        <f>1/D112</f>
        <v>0.00000002275350752</v>
      </c>
      <c r="G112" s="9"/>
      <c r="H112" s="9" t="s">
        <v>102</v>
      </c>
      <c r="I112" s="9"/>
      <c r="J112" s="9"/>
      <c r="K112" s="9"/>
      <c r="L112" s="9">
        <f>1/F112</f>
        <v>43949268</v>
      </c>
      <c r="M112" s="19">
        <f>+L112/I113</f>
        <v>7.324878</v>
      </c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2.75" customHeight="1">
      <c r="A113" s="9" t="s">
        <v>29</v>
      </c>
      <c r="B113" s="9">
        <v>5.0</v>
      </c>
      <c r="C113" s="9"/>
      <c r="D113" s="9"/>
      <c r="E113" s="9"/>
      <c r="F113" s="9"/>
      <c r="G113" s="9"/>
      <c r="H113" s="9" t="s">
        <v>103</v>
      </c>
      <c r="I113" s="10">
        <v>6000000.0</v>
      </c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2.75" customHeight="1">
      <c r="A114" s="9"/>
      <c r="B114" s="9"/>
      <c r="C114" s="9"/>
      <c r="D114" s="9"/>
      <c r="E114" s="9"/>
      <c r="F114" s="9"/>
      <c r="G114" s="9"/>
      <c r="H114" s="9" t="s">
        <v>104</v>
      </c>
      <c r="I114" s="19">
        <f>+D112</f>
        <v>43949268</v>
      </c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2.75" customHeight="1">
      <c r="A115" s="9" t="s">
        <v>105</v>
      </c>
      <c r="B115" s="9"/>
      <c r="C115" s="9"/>
      <c r="D115" s="9"/>
      <c r="E115" s="9"/>
      <c r="F115" s="9"/>
      <c r="G115" s="9"/>
      <c r="H115" s="9" t="s">
        <v>106</v>
      </c>
      <c r="I115" s="10">
        <f>+I114/I113</f>
        <v>7.324878</v>
      </c>
      <c r="J115" s="9" t="s">
        <v>107</v>
      </c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2.75" customHeight="1">
      <c r="A116" s="9" t="s">
        <v>108</v>
      </c>
      <c r="B116" s="9" t="s">
        <v>109</v>
      </c>
      <c r="C116" s="9" t="s">
        <v>101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2.75" customHeight="1">
      <c r="A117" s="9">
        <v>1.0</v>
      </c>
      <c r="B117" s="30" t="s">
        <v>110</v>
      </c>
      <c r="C117" s="22" t="s">
        <v>111</v>
      </c>
      <c r="D117" s="9">
        <f>5/90</f>
        <v>0.05555555556</v>
      </c>
      <c r="E117" s="9"/>
      <c r="F117" s="29">
        <f>+D117*D118*D119*D120*D121</f>
        <v>0.00000002275350752</v>
      </c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2.75" customHeight="1">
      <c r="A118" s="9">
        <v>2.0</v>
      </c>
      <c r="B118" s="30" t="s">
        <v>112</v>
      </c>
      <c r="C118" s="22" t="s">
        <v>113</v>
      </c>
      <c r="D118" s="9">
        <f>4/89</f>
        <v>0.04494382022</v>
      </c>
      <c r="E118" s="2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2.75" customHeight="1">
      <c r="A119" s="9">
        <v>3.0</v>
      </c>
      <c r="B119" s="30" t="s">
        <v>114</v>
      </c>
      <c r="C119" s="22" t="s">
        <v>115</v>
      </c>
      <c r="D119" s="9">
        <f>3/88</f>
        <v>0.03409090909</v>
      </c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2.75" customHeight="1">
      <c r="A120" s="9">
        <v>4.0</v>
      </c>
      <c r="B120" s="30" t="s">
        <v>116</v>
      </c>
      <c r="C120" s="22" t="s">
        <v>117</v>
      </c>
      <c r="D120" s="9">
        <f>2/87</f>
        <v>0.02298850575</v>
      </c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2.75" customHeight="1">
      <c r="A121" s="9">
        <v>5.0</v>
      </c>
      <c r="B121" s="30" t="s">
        <v>118</v>
      </c>
      <c r="C121" s="22" t="s">
        <v>119</v>
      </c>
      <c r="D121" s="9">
        <f>1/86</f>
        <v>0.01162790698</v>
      </c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2.75" customHeight="1">
      <c r="A122" s="9"/>
      <c r="B122" s="9"/>
      <c r="C122" s="9"/>
      <c r="D122" s="9"/>
      <c r="E122" s="9"/>
      <c r="F122" s="31"/>
      <c r="G122" s="31"/>
      <c r="H122" s="31"/>
      <c r="I122" s="31"/>
      <c r="J122" s="31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2.75" customHeight="1">
      <c r="A123" s="9"/>
      <c r="B123" s="9"/>
      <c r="C123" s="9"/>
      <c r="D123" s="9"/>
      <c r="E123" s="9"/>
      <c r="F123" s="19"/>
      <c r="G123" s="19"/>
      <c r="H123" s="19"/>
      <c r="I123" s="19"/>
      <c r="J123" s="1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2.75" customHeight="1">
      <c r="A124" s="9" t="s">
        <v>120</v>
      </c>
      <c r="B124" s="9" t="s">
        <v>121</v>
      </c>
      <c r="C124" s="10"/>
      <c r="D124" s="9"/>
      <c r="E124" s="9"/>
      <c r="F124" s="32"/>
      <c r="G124" s="23"/>
      <c r="H124" s="23"/>
      <c r="I124" s="23"/>
      <c r="J124" s="23"/>
      <c r="K124" s="23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2.75" customHeight="1">
      <c r="A125" s="9"/>
      <c r="B125" s="9"/>
      <c r="C125" s="9"/>
      <c r="D125" s="9"/>
      <c r="E125" s="9"/>
      <c r="F125" s="9"/>
      <c r="G125" s="10"/>
      <c r="H125" s="10"/>
      <c r="I125" s="10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2.75" customHeight="1">
      <c r="A126" s="9" t="s">
        <v>28</v>
      </c>
      <c r="B126" s="9">
        <v>90.0</v>
      </c>
      <c r="C126" s="9" t="s">
        <v>122</v>
      </c>
      <c r="D126" s="19" t="s">
        <v>123</v>
      </c>
      <c r="E126" s="9"/>
      <c r="F126" s="29"/>
      <c r="G126" s="33"/>
      <c r="H126" s="23"/>
      <c r="I126" s="10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2.75" customHeight="1">
      <c r="A127" s="9" t="s">
        <v>29</v>
      </c>
      <c r="B127" s="9">
        <v>5.0</v>
      </c>
      <c r="C127" s="9"/>
      <c r="D127" s="34">
        <f>+B127/B126</f>
        <v>0.05555555556</v>
      </c>
      <c r="E127" s="9"/>
      <c r="F127" s="9"/>
      <c r="G127" s="10"/>
      <c r="H127" s="10"/>
      <c r="I127" s="10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2.7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2.75" customHeight="1">
      <c r="A129" s="9" t="s">
        <v>108</v>
      </c>
      <c r="B129" s="9" t="s">
        <v>109</v>
      </c>
      <c r="C129" s="9" t="s">
        <v>101</v>
      </c>
      <c r="D129" s="9"/>
      <c r="E129" s="9"/>
      <c r="F129" s="9" t="s">
        <v>124</v>
      </c>
      <c r="G129" s="9"/>
      <c r="H129" s="9"/>
      <c r="I129" s="9"/>
      <c r="J129" s="17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2.75" customHeight="1">
      <c r="A130" s="9">
        <v>1.0</v>
      </c>
      <c r="B130" s="30" t="s">
        <v>125</v>
      </c>
      <c r="C130" s="22" t="s">
        <v>126</v>
      </c>
      <c r="D130" s="33">
        <v>0.0111111111111111</v>
      </c>
      <c r="E130" s="9"/>
      <c r="F130" s="29">
        <f>+D130+D131+D132+D133+D134</f>
        <v>0.05555555556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2.75" customHeight="1">
      <c r="A131" s="9">
        <v>2.0</v>
      </c>
      <c r="B131" s="30" t="s">
        <v>127</v>
      </c>
      <c r="C131" s="22" t="s">
        <v>128</v>
      </c>
      <c r="D131" s="33">
        <f>89/90 * 1/89</f>
        <v>0.01111111111</v>
      </c>
      <c r="E131" s="9"/>
      <c r="F131" s="2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2.75" customHeight="1">
      <c r="A132" s="9">
        <v>3.0</v>
      </c>
      <c r="B132" s="30" t="s">
        <v>129</v>
      </c>
      <c r="C132" s="22" t="s">
        <v>130</v>
      </c>
      <c r="D132" s="33">
        <f>89/90 * 88/89  * 1/88</f>
        <v>0.01111111111</v>
      </c>
      <c r="E132" s="9"/>
      <c r="F132" s="9"/>
      <c r="G132" s="9"/>
      <c r="H132" s="15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2.75" customHeight="1">
      <c r="A133" s="9">
        <v>4.0</v>
      </c>
      <c r="B133" s="30" t="s">
        <v>131</v>
      </c>
      <c r="C133" s="22" t="s">
        <v>132</v>
      </c>
      <c r="D133" s="33">
        <f>89/90 * 88/89  * 87/88 * 1/87</f>
        <v>0.01111111111</v>
      </c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2.75" customHeight="1">
      <c r="A134" s="9">
        <v>5.0</v>
      </c>
      <c r="B134" s="30" t="s">
        <v>133</v>
      </c>
      <c r="C134" s="22" t="s">
        <v>134</v>
      </c>
      <c r="D134" s="33">
        <f>89/90 * 88/89  * 87/88 * 86/87 * 1/86</f>
        <v>0.01111111111</v>
      </c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2.75" customHeight="1">
      <c r="A135" s="9"/>
      <c r="B135" s="35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2.75" customHeight="1">
      <c r="A136" s="9"/>
      <c r="B136" s="11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2.75" customHeight="1">
      <c r="A137" s="9"/>
      <c r="B137" s="11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2.75" customHeight="1">
      <c r="A138" s="36" t="s">
        <v>135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2.75" customHeight="1">
      <c r="A139" s="14" t="s">
        <v>136</v>
      </c>
      <c r="B139" s="14" t="s">
        <v>137</v>
      </c>
      <c r="C139" s="14">
        <v>35.0</v>
      </c>
      <c r="D139" s="14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2.75" customHeight="1">
      <c r="A140" s="14" t="s">
        <v>138</v>
      </c>
      <c r="B140" s="37" t="s">
        <v>139</v>
      </c>
      <c r="C140" s="9"/>
      <c r="D140" s="14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2.75" customHeight="1">
      <c r="A141" s="14" t="s">
        <v>140</v>
      </c>
      <c r="B141" s="37" t="s">
        <v>141</v>
      </c>
      <c r="C141" s="9"/>
      <c r="D141" s="14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2.75" customHeight="1">
      <c r="A142" s="14" t="s">
        <v>142</v>
      </c>
      <c r="B142" s="37" t="s">
        <v>143</v>
      </c>
      <c r="C142" s="9"/>
      <c r="D142" s="14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2.75" customHeight="1">
      <c r="A143" s="14" t="s">
        <v>144</v>
      </c>
      <c r="B143" s="9">
        <f>10-1</f>
        <v>9</v>
      </c>
      <c r="C143" s="9"/>
      <c r="D143" s="14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2.75" customHeight="1">
      <c r="A144" s="9"/>
      <c r="B144" s="10"/>
      <c r="C144" s="9"/>
      <c r="D144" s="14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2.75" customHeight="1">
      <c r="A145" s="9"/>
      <c r="B145" s="10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2.75" customHeight="1">
      <c r="A146" s="36" t="s">
        <v>145</v>
      </c>
      <c r="B146" s="10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2.75" customHeight="1">
      <c r="A147" s="14" t="s">
        <v>146</v>
      </c>
      <c r="B147" s="14">
        <v>2.0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2.75" customHeight="1">
      <c r="A148" s="14" t="s">
        <v>147</v>
      </c>
      <c r="B148" s="14">
        <v>25.0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2.75" customHeight="1">
      <c r="A149" s="14" t="s">
        <v>148</v>
      </c>
      <c r="B149" s="14">
        <v>1.9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2.75" customHeight="1">
      <c r="A150" s="14" t="s">
        <v>149</v>
      </c>
      <c r="B150" s="14" t="s">
        <v>150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2.75" customHeight="1">
      <c r="A151" s="14" t="s">
        <v>151</v>
      </c>
      <c r="B151" s="14">
        <v>0.2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2.75" customHeight="1">
      <c r="A152" s="14" t="s">
        <v>152</v>
      </c>
      <c r="B152" s="14">
        <v>0.05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2.75" customHeight="1">
      <c r="A153" s="38" t="s">
        <v>153</v>
      </c>
      <c r="B153" s="39">
        <f>1-B152</f>
        <v>0.95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2.75" customHeight="1">
      <c r="A154" s="38" t="s">
        <v>154</v>
      </c>
      <c r="B154" s="1">
        <f>B148-1</f>
        <v>24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2.75" customHeight="1"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2.75" customHeight="1">
      <c r="A156" s="14" t="s">
        <v>155</v>
      </c>
      <c r="B156" s="9">
        <f>(B149-B147)/(B151/SQRT(B148))</f>
        <v>-2.5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2.75" customHeight="1">
      <c r="A157" s="38" t="s">
        <v>156</v>
      </c>
      <c r="B157" s="14">
        <v>1.711</v>
      </c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2.75" customHeight="1">
      <c r="A158" s="1" t="b">
        <f>ABS(B156)&gt;B157</f>
        <v>1</v>
      </c>
      <c r="B158" s="14" t="s">
        <v>157</v>
      </c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2.7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2.7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2.75" customHeight="1">
      <c r="A161" s="14" t="s">
        <v>158</v>
      </c>
      <c r="B161" s="40">
        <v>0.05</v>
      </c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2.75" customHeight="1">
      <c r="A162" s="14" t="s">
        <v>159</v>
      </c>
      <c r="B162" s="41">
        <v>0.059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2.75" customHeight="1">
      <c r="A163" s="14" t="s">
        <v>160</v>
      </c>
      <c r="B163" s="41">
        <v>0.011</v>
      </c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2.75" customHeight="1">
      <c r="A164" s="14" t="s">
        <v>161</v>
      </c>
      <c r="B164" s="14">
        <v>4.0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2.75" customHeight="1">
      <c r="A165" s="14" t="s">
        <v>152</v>
      </c>
      <c r="B165" s="42">
        <v>6.944444444444445E-4</v>
      </c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2.75" customHeight="1">
      <c r="A166" s="14" t="s">
        <v>162</v>
      </c>
      <c r="B166" s="9">
        <f>B164-1</f>
        <v>3</v>
      </c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2.7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2.75" customHeight="1">
      <c r="A168" s="14" t="s">
        <v>155</v>
      </c>
      <c r="B168" s="9">
        <f>(B162-B161)/(B163/SQRT(B164))</f>
        <v>1.636363636</v>
      </c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2.75" customHeight="1">
      <c r="A169" s="14" t="s">
        <v>156</v>
      </c>
      <c r="B169" s="14">
        <v>4.451</v>
      </c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2.75" customHeight="1">
      <c r="A170" s="1" t="b">
        <f>ABS(B168)&gt;B169</f>
        <v>0</v>
      </c>
      <c r="B170" s="14" t="s">
        <v>163</v>
      </c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2.7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2.7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2.75" customHeight="1">
      <c r="A173" s="14" t="s">
        <v>158</v>
      </c>
      <c r="B173" s="43">
        <v>46.0</v>
      </c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2.75" customHeight="1">
      <c r="A174" s="14" t="s">
        <v>159</v>
      </c>
      <c r="B174" s="43">
        <v>44.0</v>
      </c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2.75" customHeight="1">
      <c r="A175" s="14" t="s">
        <v>160</v>
      </c>
      <c r="B175" s="43">
        <v>1.8</v>
      </c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2.75" customHeight="1">
      <c r="A176" s="14" t="s">
        <v>161</v>
      </c>
      <c r="B176" s="43">
        <v>20.0</v>
      </c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2.75" customHeight="1">
      <c r="A177" s="14" t="s">
        <v>152</v>
      </c>
      <c r="B177" s="43">
        <v>0.05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2.75" customHeight="1">
      <c r="A178" s="38" t="s">
        <v>153</v>
      </c>
      <c r="B178" s="39">
        <f>1-B177</f>
        <v>0.95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2.75" customHeight="1">
      <c r="A179" s="14" t="s">
        <v>162</v>
      </c>
      <c r="B179" s="44">
        <f>B176-1</f>
        <v>19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2.75" customHeight="1"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2.75" customHeight="1">
      <c r="A181" s="14" t="s">
        <v>155</v>
      </c>
      <c r="B181" s="9">
        <f>(B174-B173)/(B175/SQRT(B176))</f>
        <v>-4.96903995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2.75" customHeight="1">
      <c r="A182" s="14" t="s">
        <v>156</v>
      </c>
      <c r="B182" s="14">
        <v>2.0</v>
      </c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2.75" customHeight="1">
      <c r="A183" s="1" t="b">
        <f>ABS(B181)&gt;B182</f>
        <v>1</v>
      </c>
      <c r="B183" s="14" t="s">
        <v>157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2.7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2.7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2.75" customHeight="1">
      <c r="A186" s="36" t="s">
        <v>164</v>
      </c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2.75" customHeight="1">
      <c r="A187" s="14" t="s">
        <v>165</v>
      </c>
      <c r="B187" s="42">
        <v>0.003472222222222222</v>
      </c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2.75" customHeight="1">
      <c r="A188" s="14" t="s">
        <v>166</v>
      </c>
      <c r="B188" s="14" t="s">
        <v>167</v>
      </c>
      <c r="C188" s="14" t="s">
        <v>168</v>
      </c>
      <c r="D188" s="14" t="s">
        <v>169</v>
      </c>
      <c r="E188" s="9"/>
      <c r="F188" s="14" t="s">
        <v>170</v>
      </c>
      <c r="G188" s="9">
        <f>D201/C189</f>
        <v>1759.819277</v>
      </c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2.75" customHeight="1">
      <c r="A189" s="38" t="s">
        <v>171</v>
      </c>
      <c r="B189" s="14">
        <v>150.0</v>
      </c>
      <c r="C189" s="45">
        <f t="shared" ref="C189:C200" si="14">$B$201/12</f>
        <v>242.0833333</v>
      </c>
      <c r="D189" s="9">
        <f t="shared" ref="D189:D200" si="15">(B189-C189)^2</f>
        <v>8479.340278</v>
      </c>
      <c r="E189" s="9"/>
      <c r="F189" s="14" t="s">
        <v>172</v>
      </c>
      <c r="G189" s="14">
        <v>16.967</v>
      </c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2.75" customHeight="1">
      <c r="A190" s="38" t="s">
        <v>173</v>
      </c>
      <c r="B190" s="14">
        <v>300.0</v>
      </c>
      <c r="C190" s="45">
        <f t="shared" si="14"/>
        <v>242.0833333</v>
      </c>
      <c r="D190" s="9">
        <f t="shared" si="15"/>
        <v>3354.340278</v>
      </c>
      <c r="E190" s="9"/>
      <c r="F190" s="9" t="b">
        <f>G188&gt;G189</f>
        <v>1</v>
      </c>
      <c r="G190" s="14" t="s">
        <v>174</v>
      </c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2.75" customHeight="1">
      <c r="A191" s="38" t="s">
        <v>175</v>
      </c>
      <c r="B191" s="14">
        <v>450.0</v>
      </c>
      <c r="C191" s="45">
        <f t="shared" si="14"/>
        <v>242.0833333</v>
      </c>
      <c r="D191" s="9">
        <f t="shared" si="15"/>
        <v>43229.34028</v>
      </c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2.75" customHeight="1">
      <c r="A192" s="38" t="s">
        <v>176</v>
      </c>
      <c r="B192" s="14">
        <v>25.0</v>
      </c>
      <c r="C192" s="45">
        <f t="shared" si="14"/>
        <v>242.0833333</v>
      </c>
      <c r="D192" s="9">
        <f t="shared" si="15"/>
        <v>47125.17361</v>
      </c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2.75" customHeight="1">
      <c r="A193" s="38" t="s">
        <v>177</v>
      </c>
      <c r="B193" s="14">
        <v>15.0</v>
      </c>
      <c r="C193" s="45">
        <f t="shared" si="14"/>
        <v>242.0833333</v>
      </c>
      <c r="D193" s="9">
        <f t="shared" si="15"/>
        <v>51566.84028</v>
      </c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2.75" customHeight="1">
      <c r="A194" s="38" t="s">
        <v>178</v>
      </c>
      <c r="B194" s="14">
        <v>300.0</v>
      </c>
      <c r="C194" s="45">
        <f t="shared" si="14"/>
        <v>242.0833333</v>
      </c>
      <c r="D194" s="9">
        <f t="shared" si="15"/>
        <v>3354.340278</v>
      </c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2.75" customHeight="1">
      <c r="A195" s="38" t="s">
        <v>179</v>
      </c>
      <c r="B195" s="14">
        <v>45.0</v>
      </c>
      <c r="C195" s="45">
        <f t="shared" si="14"/>
        <v>242.0833333</v>
      </c>
      <c r="D195" s="9">
        <f t="shared" si="15"/>
        <v>38841.84028</v>
      </c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2.75" customHeight="1">
      <c r="A196" s="38" t="s">
        <v>180</v>
      </c>
      <c r="B196" s="14">
        <v>250.0</v>
      </c>
      <c r="C196" s="45">
        <f t="shared" si="14"/>
        <v>242.0833333</v>
      </c>
      <c r="D196" s="9">
        <f t="shared" si="15"/>
        <v>62.67361111</v>
      </c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2.75" customHeight="1">
      <c r="A197" s="38" t="s">
        <v>181</v>
      </c>
      <c r="B197" s="14">
        <v>670.0</v>
      </c>
      <c r="C197" s="45">
        <f t="shared" si="14"/>
        <v>242.0833333</v>
      </c>
      <c r="D197" s="9">
        <f t="shared" si="15"/>
        <v>183112.6736</v>
      </c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2.75" customHeight="1">
      <c r="A198" s="38" t="s">
        <v>182</v>
      </c>
      <c r="B198" s="14">
        <v>200.0</v>
      </c>
      <c r="C198" s="45">
        <f t="shared" si="14"/>
        <v>242.0833333</v>
      </c>
      <c r="D198" s="9">
        <f t="shared" si="15"/>
        <v>1771.006944</v>
      </c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2.75" customHeight="1">
      <c r="A199" s="38" t="s">
        <v>183</v>
      </c>
      <c r="B199" s="14">
        <v>100.0</v>
      </c>
      <c r="C199" s="45">
        <f t="shared" si="14"/>
        <v>242.0833333</v>
      </c>
      <c r="D199" s="9">
        <f t="shared" si="15"/>
        <v>20187.67361</v>
      </c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2.75" customHeight="1">
      <c r="A200" s="38" t="s">
        <v>184</v>
      </c>
      <c r="B200" s="14">
        <v>400.0</v>
      </c>
      <c r="C200" s="45">
        <f t="shared" si="14"/>
        <v>242.0833333</v>
      </c>
      <c r="D200" s="9">
        <f t="shared" si="15"/>
        <v>24937.67361</v>
      </c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2.75" customHeight="1">
      <c r="A201" s="9"/>
      <c r="B201" s="9">
        <f t="shared" ref="B201:D201" si="16">sum(B189:B200)</f>
        <v>2905</v>
      </c>
      <c r="C201" s="45">
        <f t="shared" si="16"/>
        <v>2905</v>
      </c>
      <c r="D201" s="9">
        <f t="shared" si="16"/>
        <v>426022.9167</v>
      </c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2.7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2.75" customHeight="1">
      <c r="A203" s="14" t="s">
        <v>148</v>
      </c>
      <c r="B203" s="14" t="s">
        <v>185</v>
      </c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2.75" customHeight="1">
      <c r="A204" s="14" t="s">
        <v>186</v>
      </c>
      <c r="B204" s="14" t="s">
        <v>187</v>
      </c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2.7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2.7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2.75" customHeight="1">
      <c r="A207" s="36" t="s">
        <v>188</v>
      </c>
      <c r="B207" s="9"/>
      <c r="C207" s="9"/>
      <c r="D207" s="9"/>
      <c r="E207" s="9"/>
      <c r="F207" s="14" t="s">
        <v>189</v>
      </c>
      <c r="G207" s="9"/>
      <c r="H207" s="46">
        <f>sum(F209:H218)</f>
        <v>196.6666667</v>
      </c>
      <c r="I207" s="9"/>
      <c r="J207" s="14" t="s">
        <v>190</v>
      </c>
      <c r="K207" s="9"/>
      <c r="L207" s="9">
        <f>sum(J209:L218)</f>
        <v>150</v>
      </c>
      <c r="M207" s="9"/>
      <c r="N207" s="14" t="s">
        <v>191</v>
      </c>
      <c r="O207" s="9"/>
      <c r="P207" s="9">
        <f>sum(N209:P218)</f>
        <v>46.66666667</v>
      </c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2.75" customHeight="1">
      <c r="B208" s="14" t="s">
        <v>192</v>
      </c>
      <c r="C208" s="14" t="s">
        <v>193</v>
      </c>
      <c r="D208" s="14" t="s">
        <v>194</v>
      </c>
      <c r="F208" s="47" t="s">
        <v>66</v>
      </c>
      <c r="G208" s="47" t="s">
        <v>67</v>
      </c>
      <c r="H208" s="14" t="s">
        <v>43</v>
      </c>
      <c r="I208" s="9"/>
      <c r="J208" s="47" t="s">
        <v>66</v>
      </c>
      <c r="K208" s="47" t="s">
        <v>67</v>
      </c>
      <c r="L208" s="14" t="s">
        <v>43</v>
      </c>
      <c r="M208" s="9"/>
      <c r="N208" s="47" t="s">
        <v>66</v>
      </c>
      <c r="O208" s="47" t="s">
        <v>67</v>
      </c>
      <c r="P208" s="14" t="s">
        <v>43</v>
      </c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2.75" customHeight="1">
      <c r="B209" s="47">
        <v>2.0</v>
      </c>
      <c r="C209" s="47">
        <v>1.0</v>
      </c>
      <c r="D209" s="47">
        <v>5.0</v>
      </c>
      <c r="F209" s="48">
        <f t="shared" ref="F209:H209" si="17">(B209-$D$221)^2</f>
        <v>5.444444444</v>
      </c>
      <c r="G209" s="48">
        <f t="shared" si="17"/>
        <v>11.11111111</v>
      </c>
      <c r="H209" s="48">
        <f t="shared" si="17"/>
        <v>0.4444444444</v>
      </c>
      <c r="I209" s="9"/>
      <c r="J209" s="9">
        <f t="shared" ref="J209:L209" si="18">(B209-B$220)^2</f>
        <v>1</v>
      </c>
      <c r="K209" s="9">
        <f t="shared" si="18"/>
        <v>25</v>
      </c>
      <c r="L209" s="9">
        <f t="shared" si="18"/>
        <v>1</v>
      </c>
      <c r="M209" s="9"/>
      <c r="N209" s="9">
        <f t="shared" ref="N209:P209" si="19">(B$220-$D$221)^2</f>
        <v>1.777777778</v>
      </c>
      <c r="O209" s="9">
        <f t="shared" si="19"/>
        <v>2.777777778</v>
      </c>
      <c r="P209" s="9">
        <f t="shared" si="19"/>
        <v>0.1111111111</v>
      </c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2.75" customHeight="1">
      <c r="B210" s="47">
        <v>2.0</v>
      </c>
      <c r="C210" s="47">
        <v>9.0</v>
      </c>
      <c r="D210" s="47">
        <v>5.0</v>
      </c>
      <c r="E210" s="20"/>
      <c r="F210" s="48">
        <f t="shared" ref="F210:H210" si="20">(B210-$D$221)^2</f>
        <v>5.444444444</v>
      </c>
      <c r="G210" s="48">
        <f t="shared" si="20"/>
        <v>21.77777778</v>
      </c>
      <c r="H210" s="48">
        <f t="shared" si="20"/>
        <v>0.4444444444</v>
      </c>
      <c r="I210" s="9"/>
      <c r="J210" s="9">
        <f t="shared" ref="J210:L210" si="21">(B210-B$220)^2</f>
        <v>1</v>
      </c>
      <c r="K210" s="9">
        <f t="shared" si="21"/>
        <v>9</v>
      </c>
      <c r="L210" s="9">
        <f t="shared" si="21"/>
        <v>1</v>
      </c>
      <c r="M210" s="9"/>
      <c r="N210" s="9">
        <f t="shared" ref="N210:P210" si="22">(B$220-$D$221)^2</f>
        <v>1.777777778</v>
      </c>
      <c r="O210" s="9">
        <f t="shared" si="22"/>
        <v>2.777777778</v>
      </c>
      <c r="P210" s="9">
        <f t="shared" si="22"/>
        <v>0.1111111111</v>
      </c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2.75" customHeight="1">
      <c r="B211" s="47">
        <v>3.0</v>
      </c>
      <c r="C211" s="47">
        <v>8.0</v>
      </c>
      <c r="D211" s="47">
        <v>2.0</v>
      </c>
      <c r="E211" s="20"/>
      <c r="F211" s="48">
        <f t="shared" ref="F211:H211" si="23">(B211-$D$221)^2</f>
        <v>1.777777778</v>
      </c>
      <c r="G211" s="48">
        <f t="shared" si="23"/>
        <v>13.44444444</v>
      </c>
      <c r="H211" s="48">
        <f t="shared" si="23"/>
        <v>5.444444444</v>
      </c>
      <c r="I211" s="9"/>
      <c r="J211" s="9">
        <f t="shared" ref="J211:L211" si="24">(B211-B$220)^2</f>
        <v>0</v>
      </c>
      <c r="K211" s="9">
        <f t="shared" si="24"/>
        <v>4</v>
      </c>
      <c r="L211" s="9">
        <f t="shared" si="24"/>
        <v>4</v>
      </c>
      <c r="M211" s="9"/>
      <c r="N211" s="9">
        <f t="shared" ref="N211:P211" si="25">(B$220-$D$221)^2</f>
        <v>1.777777778</v>
      </c>
      <c r="O211" s="9">
        <f t="shared" si="25"/>
        <v>2.777777778</v>
      </c>
      <c r="P211" s="9">
        <f t="shared" si="25"/>
        <v>0.1111111111</v>
      </c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2.75" customHeight="1">
      <c r="B212" s="47">
        <v>1.0</v>
      </c>
      <c r="C212" s="47">
        <v>2.0</v>
      </c>
      <c r="D212" s="47">
        <v>3.0</v>
      </c>
      <c r="E212" s="20"/>
      <c r="F212" s="48">
        <f t="shared" ref="F212:H212" si="26">(B212-$D$221)^2</f>
        <v>11.11111111</v>
      </c>
      <c r="G212" s="48">
        <f t="shared" si="26"/>
        <v>5.444444444</v>
      </c>
      <c r="H212" s="48">
        <f t="shared" si="26"/>
        <v>1.777777778</v>
      </c>
      <c r="I212" s="9"/>
      <c r="J212" s="9">
        <f t="shared" ref="J212:L212" si="27">(B212-B$220)^2</f>
        <v>4</v>
      </c>
      <c r="K212" s="9">
        <f t="shared" si="27"/>
        <v>16</v>
      </c>
      <c r="L212" s="9">
        <f t="shared" si="27"/>
        <v>1</v>
      </c>
      <c r="M212" s="9"/>
      <c r="N212" s="9">
        <f t="shared" ref="N212:P212" si="28">(B$220-$D$221)^2</f>
        <v>1.777777778</v>
      </c>
      <c r="O212" s="9">
        <f t="shared" si="28"/>
        <v>2.777777778</v>
      </c>
      <c r="P212" s="9">
        <f t="shared" si="28"/>
        <v>0.1111111111</v>
      </c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2.75" customHeight="1">
      <c r="B213" s="47">
        <v>6.0</v>
      </c>
      <c r="C213" s="47">
        <v>9.0</v>
      </c>
      <c r="D213" s="47">
        <v>2.0</v>
      </c>
      <c r="E213" s="20"/>
      <c r="F213" s="48">
        <f t="shared" ref="F213:H213" si="29">(B213-$D$221)^2</f>
        <v>2.777777778</v>
      </c>
      <c r="G213" s="48">
        <f t="shared" si="29"/>
        <v>21.77777778</v>
      </c>
      <c r="H213" s="48">
        <f t="shared" si="29"/>
        <v>5.444444444</v>
      </c>
      <c r="I213" s="9"/>
      <c r="J213" s="9">
        <f t="shared" ref="J213:L213" si="30">(B213-B$220)^2</f>
        <v>9</v>
      </c>
      <c r="K213" s="9">
        <f t="shared" si="30"/>
        <v>9</v>
      </c>
      <c r="L213" s="9">
        <f t="shared" si="30"/>
        <v>4</v>
      </c>
      <c r="M213" s="9"/>
      <c r="N213" s="9">
        <f t="shared" ref="N213:P213" si="31">(B$220-$D$221)^2</f>
        <v>1.777777778</v>
      </c>
      <c r="O213" s="9">
        <f t="shared" si="31"/>
        <v>2.777777778</v>
      </c>
      <c r="P213" s="9">
        <f t="shared" si="31"/>
        <v>0.1111111111</v>
      </c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2.75" customHeight="1">
      <c r="B214" s="47">
        <v>4.0</v>
      </c>
      <c r="C214" s="47">
        <v>5.0</v>
      </c>
      <c r="D214" s="47">
        <v>1.0</v>
      </c>
      <c r="E214" s="20"/>
      <c r="F214" s="48">
        <f t="shared" ref="F214:H214" si="32">(B214-$D$221)^2</f>
        <v>0.1111111111</v>
      </c>
      <c r="G214" s="48">
        <f t="shared" si="32"/>
        <v>0.4444444444</v>
      </c>
      <c r="H214" s="48">
        <f t="shared" si="32"/>
        <v>11.11111111</v>
      </c>
      <c r="I214" s="9"/>
      <c r="J214" s="9">
        <f t="shared" ref="J214:L214" si="33">(B214-B$220)^2</f>
        <v>1</v>
      </c>
      <c r="K214" s="9">
        <f t="shared" si="33"/>
        <v>1</v>
      </c>
      <c r="L214" s="9">
        <f t="shared" si="33"/>
        <v>9</v>
      </c>
      <c r="M214" s="9"/>
      <c r="N214" s="9">
        <f t="shared" ref="N214:P214" si="34">(B$220-$D$221)^2</f>
        <v>1.777777778</v>
      </c>
      <c r="O214" s="9">
        <f t="shared" si="34"/>
        <v>2.777777778</v>
      </c>
      <c r="P214" s="9">
        <f t="shared" si="34"/>
        <v>0.1111111111</v>
      </c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2.75" customHeight="1">
      <c r="B215" s="47">
        <v>4.0</v>
      </c>
      <c r="C215" s="47">
        <v>3.0</v>
      </c>
      <c r="D215" s="47">
        <v>4.0</v>
      </c>
      <c r="E215" s="20"/>
      <c r="F215" s="48">
        <f t="shared" ref="F215:H215" si="35">(B215-$D$221)^2</f>
        <v>0.1111111111</v>
      </c>
      <c r="G215" s="48">
        <f t="shared" si="35"/>
        <v>1.777777778</v>
      </c>
      <c r="H215" s="48">
        <f t="shared" si="35"/>
        <v>0.1111111111</v>
      </c>
      <c r="I215" s="9"/>
      <c r="J215" s="9">
        <f t="shared" ref="J215:L215" si="36">(B215-B$220)^2</f>
        <v>1</v>
      </c>
      <c r="K215" s="9">
        <f t="shared" si="36"/>
        <v>9</v>
      </c>
      <c r="L215" s="9">
        <f t="shared" si="36"/>
        <v>0</v>
      </c>
      <c r="M215" s="9"/>
      <c r="N215" s="9">
        <f t="shared" ref="N215:P215" si="37">(B$220-$D$221)^2</f>
        <v>1.777777778</v>
      </c>
      <c r="O215" s="9">
        <f t="shared" si="37"/>
        <v>2.777777778</v>
      </c>
      <c r="P215" s="9">
        <f t="shared" si="37"/>
        <v>0.1111111111</v>
      </c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2.75" customHeight="1">
      <c r="B216" s="47">
        <v>4.0</v>
      </c>
      <c r="C216" s="47">
        <v>7.0</v>
      </c>
      <c r="D216" s="47">
        <v>7.0</v>
      </c>
      <c r="E216" s="20"/>
      <c r="F216" s="48">
        <f t="shared" ref="F216:H216" si="38">(B216-$D$221)^2</f>
        <v>0.1111111111</v>
      </c>
      <c r="G216" s="48">
        <f t="shared" si="38"/>
        <v>7.111111111</v>
      </c>
      <c r="H216" s="48">
        <f t="shared" si="38"/>
        <v>7.111111111</v>
      </c>
      <c r="I216" s="9"/>
      <c r="J216" s="9">
        <f t="shared" ref="J216:L216" si="39">(B216-B$220)^2</f>
        <v>1</v>
      </c>
      <c r="K216" s="9">
        <f t="shared" si="39"/>
        <v>1</v>
      </c>
      <c r="L216" s="9">
        <f t="shared" si="39"/>
        <v>9</v>
      </c>
      <c r="M216" s="9"/>
      <c r="N216" s="9">
        <f t="shared" ref="N216:P216" si="40">(B$220-$D$221)^2</f>
        <v>1.777777778</v>
      </c>
      <c r="O216" s="9">
        <f t="shared" si="40"/>
        <v>2.777777778</v>
      </c>
      <c r="P216" s="9">
        <f t="shared" si="40"/>
        <v>0.1111111111</v>
      </c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2.75" customHeight="1">
      <c r="B217" s="47">
        <v>1.0</v>
      </c>
      <c r="C217" s="47">
        <v>6.0</v>
      </c>
      <c r="D217" s="47">
        <v>7.0</v>
      </c>
      <c r="E217" s="20"/>
      <c r="F217" s="48">
        <f t="shared" ref="F217:H217" si="41">(B217-$D$221)^2</f>
        <v>11.11111111</v>
      </c>
      <c r="G217" s="48">
        <f t="shared" si="41"/>
        <v>2.777777778</v>
      </c>
      <c r="H217" s="48">
        <f t="shared" si="41"/>
        <v>7.111111111</v>
      </c>
      <c r="I217" s="9"/>
      <c r="J217" s="9">
        <f t="shared" ref="J217:L217" si="42">(B217-B$220)^2</f>
        <v>4</v>
      </c>
      <c r="K217" s="9">
        <f t="shared" si="42"/>
        <v>0</v>
      </c>
      <c r="L217" s="9">
        <f t="shared" si="42"/>
        <v>9</v>
      </c>
      <c r="M217" s="9"/>
      <c r="N217" s="9">
        <f t="shared" ref="N217:P217" si="43">(B$220-$D$221)^2</f>
        <v>1.777777778</v>
      </c>
      <c r="O217" s="9">
        <f t="shared" si="43"/>
        <v>2.777777778</v>
      </c>
      <c r="P217" s="9">
        <f t="shared" si="43"/>
        <v>0.1111111111</v>
      </c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2.75" customHeight="1">
      <c r="B218" s="47">
        <v>3.0</v>
      </c>
      <c r="C218" s="47">
        <v>10.0</v>
      </c>
      <c r="D218" s="47">
        <v>4.0</v>
      </c>
      <c r="E218" s="20"/>
      <c r="F218" s="48">
        <f t="shared" ref="F218:H218" si="44">(B218-$D$221)^2</f>
        <v>1.777777778</v>
      </c>
      <c r="G218" s="48">
        <f t="shared" si="44"/>
        <v>32.11111111</v>
      </c>
      <c r="H218" s="48">
        <f t="shared" si="44"/>
        <v>0.1111111111</v>
      </c>
      <c r="I218" s="9"/>
      <c r="J218" s="9">
        <f t="shared" ref="J218:L218" si="45">(B218-B$220)^2</f>
        <v>0</v>
      </c>
      <c r="K218" s="9">
        <f t="shared" si="45"/>
        <v>16</v>
      </c>
      <c r="L218" s="9">
        <f t="shared" si="45"/>
        <v>0</v>
      </c>
      <c r="M218" s="9"/>
      <c r="N218" s="9">
        <f t="shared" ref="N218:P218" si="46">(B$220-$D$221)^2</f>
        <v>1.777777778</v>
      </c>
      <c r="O218" s="9">
        <f t="shared" si="46"/>
        <v>2.777777778</v>
      </c>
      <c r="P218" s="9">
        <f t="shared" si="46"/>
        <v>0.1111111111</v>
      </c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2.75" customHeight="1">
      <c r="B219" s="20"/>
      <c r="C219" s="20"/>
      <c r="D219" s="20"/>
      <c r="E219" s="20"/>
      <c r="F219" s="2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2.75" customHeight="1">
      <c r="A220" s="38" t="s">
        <v>195</v>
      </c>
      <c r="B220" s="49">
        <f t="shared" ref="B220:D220" si="47">AVERAGE(B209:B218)</f>
        <v>3</v>
      </c>
      <c r="C220" s="49">
        <f t="shared" si="47"/>
        <v>6</v>
      </c>
      <c r="D220" s="49">
        <f t="shared" si="47"/>
        <v>4</v>
      </c>
      <c r="E220" s="20"/>
      <c r="F220" s="47" t="s">
        <v>162</v>
      </c>
      <c r="G220" s="9">
        <f>(C222*C223)-1</f>
        <v>29</v>
      </c>
      <c r="H220" s="9"/>
      <c r="I220" s="9"/>
      <c r="J220" s="47" t="s">
        <v>162</v>
      </c>
      <c r="K220" s="9">
        <f>+C222*(C223-1)</f>
        <v>27</v>
      </c>
      <c r="L220" s="9"/>
      <c r="M220" s="9"/>
      <c r="N220" s="9"/>
      <c r="O220" s="14" t="s">
        <v>162</v>
      </c>
      <c r="P220" s="9">
        <f>C222-1</f>
        <v>2</v>
      </c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2.75" customHeight="1">
      <c r="A221" s="38" t="s">
        <v>196</v>
      </c>
      <c r="B221" s="49"/>
      <c r="C221" s="49"/>
      <c r="D221" s="49">
        <f>average(B209:D218)</f>
        <v>4.333333333</v>
      </c>
      <c r="E221" s="20"/>
      <c r="F221" s="20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2.75" customHeight="1">
      <c r="B222" s="14" t="s">
        <v>197</v>
      </c>
      <c r="C222" s="9">
        <f>COUNTA(B208:D208)</f>
        <v>3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2.75" customHeight="1">
      <c r="A223" s="9"/>
      <c r="B223" s="14" t="s">
        <v>28</v>
      </c>
      <c r="C223" s="9">
        <f>count(B209:B218)</f>
        <v>10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2.7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2.75" customHeight="1">
      <c r="A225" s="9"/>
      <c r="B225" s="9"/>
      <c r="C225" s="14" t="s">
        <v>198</v>
      </c>
      <c r="D225" s="9">
        <f>(P207/P220)/(L207/K220)</f>
        <v>4.2</v>
      </c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2.75" customHeight="1">
      <c r="A226" s="9"/>
      <c r="B226" s="9"/>
      <c r="C226" s="14" t="s">
        <v>199</v>
      </c>
      <c r="D226" s="14">
        <v>3.354</v>
      </c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2.75" customHeight="1">
      <c r="A227" s="9"/>
      <c r="B227" s="9"/>
      <c r="C227" s="9" t="b">
        <f>D225&gt;D226</f>
        <v>1</v>
      </c>
      <c r="D227" s="14" t="s">
        <v>200</v>
      </c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2.7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2.7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2.7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2.7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2.7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2.7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2.7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2.75" customHeight="1">
      <c r="A235" s="14" t="s">
        <v>201</v>
      </c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2.75" customHeight="1">
      <c r="A236" s="14" t="s">
        <v>1</v>
      </c>
      <c r="B236" s="14" t="s">
        <v>11</v>
      </c>
      <c r="C236" s="14" t="s">
        <v>202</v>
      </c>
      <c r="D236" s="14" t="s">
        <v>203</v>
      </c>
      <c r="E236" s="14" t="s">
        <v>204</v>
      </c>
      <c r="G236" s="14" t="s">
        <v>197</v>
      </c>
      <c r="H236" s="9">
        <f>((B246*D244)-(A244*B244))/((B246*C244)-(A244^2))</f>
        <v>7</v>
      </c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2.75" customHeight="1">
      <c r="A237" s="14">
        <v>1.0</v>
      </c>
      <c r="B237" s="14">
        <v>-3.0</v>
      </c>
      <c r="C237" s="9">
        <f t="shared" ref="C237:C243" si="48">A237^2</f>
        <v>1</v>
      </c>
      <c r="D237" s="9">
        <f t="shared" ref="D237:D243" si="49">A237*B237</f>
        <v>-3</v>
      </c>
      <c r="E237" s="9">
        <f t="shared" ref="E237:E243" si="50">$H$236*A237+$H$237</f>
        <v>-3</v>
      </c>
      <c r="G237" s="14" t="s">
        <v>205</v>
      </c>
      <c r="H237" s="9">
        <f>(B244-(H236*A244))/B246</f>
        <v>-10</v>
      </c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2.75" customHeight="1">
      <c r="A238" s="14">
        <v>4.0</v>
      </c>
      <c r="B238" s="14">
        <v>18.0</v>
      </c>
      <c r="C238" s="9">
        <f t="shared" si="48"/>
        <v>16</v>
      </c>
      <c r="D238" s="9">
        <f t="shared" si="49"/>
        <v>72</v>
      </c>
      <c r="E238" s="9">
        <f t="shared" si="50"/>
        <v>18</v>
      </c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2.75" customHeight="1">
      <c r="A239" s="14">
        <v>5.0</v>
      </c>
      <c r="B239" s="14">
        <v>25.0</v>
      </c>
      <c r="C239" s="9">
        <f t="shared" si="48"/>
        <v>25</v>
      </c>
      <c r="D239" s="9">
        <f t="shared" si="49"/>
        <v>125</v>
      </c>
      <c r="E239" s="9">
        <f t="shared" si="50"/>
        <v>25</v>
      </c>
      <c r="F239" s="9"/>
      <c r="G239" s="38" t="s">
        <v>206</v>
      </c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2.75" customHeight="1">
      <c r="A240" s="14">
        <v>2.0</v>
      </c>
      <c r="B240" s="14">
        <v>4.0</v>
      </c>
      <c r="C240" s="9">
        <f t="shared" si="48"/>
        <v>4</v>
      </c>
      <c r="D240" s="9">
        <f t="shared" si="49"/>
        <v>8</v>
      </c>
      <c r="E240" s="9">
        <f t="shared" si="50"/>
        <v>4</v>
      </c>
      <c r="F240" s="9"/>
      <c r="G240" s="9">
        <f t="array" ref="G240:H240">LINEST(B237:B243,A237:A243)</f>
        <v>7</v>
      </c>
      <c r="H240" s="9">
        <v>-9.999999999999995</v>
      </c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2.75" customHeight="1">
      <c r="A241" s="14">
        <v>9.0</v>
      </c>
      <c r="B241" s="14">
        <v>53.0</v>
      </c>
      <c r="C241" s="9">
        <f t="shared" si="48"/>
        <v>81</v>
      </c>
      <c r="D241" s="9">
        <f t="shared" si="49"/>
        <v>477</v>
      </c>
      <c r="E241" s="9">
        <f t="shared" si="50"/>
        <v>53</v>
      </c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2.75" customHeight="1">
      <c r="A242" s="14">
        <v>4.0</v>
      </c>
      <c r="B242" s="14">
        <v>18.0</v>
      </c>
      <c r="C242" s="9">
        <f t="shared" si="48"/>
        <v>16</v>
      </c>
      <c r="D242" s="9">
        <f t="shared" si="49"/>
        <v>72</v>
      </c>
      <c r="E242" s="9">
        <f t="shared" si="50"/>
        <v>18</v>
      </c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2.75" customHeight="1">
      <c r="A243" s="14">
        <v>10.0</v>
      </c>
      <c r="B243" s="14">
        <v>60.0</v>
      </c>
      <c r="C243" s="9">
        <f t="shared" si="48"/>
        <v>100</v>
      </c>
      <c r="D243" s="9">
        <f t="shared" si="49"/>
        <v>600</v>
      </c>
      <c r="E243" s="9">
        <f t="shared" si="50"/>
        <v>60</v>
      </c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2.75" customHeight="1">
      <c r="A244" s="8">
        <f t="shared" ref="A244:D244" si="51">SUM(A237:A243)</f>
        <v>35</v>
      </c>
      <c r="B244" s="8">
        <f t="shared" si="51"/>
        <v>175</v>
      </c>
      <c r="C244" s="8">
        <f t="shared" si="51"/>
        <v>243</v>
      </c>
      <c r="D244" s="8">
        <f t="shared" si="51"/>
        <v>1351</v>
      </c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2.7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2.75" customHeight="1">
      <c r="A246" s="14" t="s">
        <v>28</v>
      </c>
      <c r="B246" s="9">
        <f>COUNT(A237:A243)</f>
        <v>7</v>
      </c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2.7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2.7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2.7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2.7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2.7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2.7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2.7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2.7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2.7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2.7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2.7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2.7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2.7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2.7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2.7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2.7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2.7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2.7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2.7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2.7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2.7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2.7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2.7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2.7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2.7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2.7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2.7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2.75" customHeight="1">
      <c r="A274" s="14" t="s">
        <v>207</v>
      </c>
      <c r="B274" s="45">
        <f>E274*B275</f>
        <v>413.9655172</v>
      </c>
      <c r="C274" s="9">
        <f>(((B279^2)*0.5*(1-0.5))/B276^2)</f>
        <v>2401</v>
      </c>
      <c r="D274" s="50">
        <f>B275-1+(((B279^2)*0.5*(1-0.5))/(B276^2))</f>
        <v>2900</v>
      </c>
      <c r="E274" s="28">
        <f>C274/D274</f>
        <v>0.8279310345</v>
      </c>
      <c r="F274" s="28">
        <f>E274*B275</f>
        <v>413.9655172</v>
      </c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2.75" customHeight="1">
      <c r="A275" s="14" t="s">
        <v>48</v>
      </c>
      <c r="B275" s="51">
        <v>500.0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2.75" customHeight="1">
      <c r="A276" s="14" t="s">
        <v>208</v>
      </c>
      <c r="B276" s="40">
        <v>0.02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2.75" customHeight="1">
      <c r="A277" s="14" t="s">
        <v>209</v>
      </c>
      <c r="B277" s="40">
        <v>0.95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2.75" customHeight="1">
      <c r="A278" s="14" t="s">
        <v>156</v>
      </c>
      <c r="B278" s="40">
        <v>0.05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2.75" customHeight="1">
      <c r="A279" s="14" t="s">
        <v>210</v>
      </c>
      <c r="B279" s="14">
        <v>1.96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2.75" customHeight="1">
      <c r="A280" s="9"/>
      <c r="B280" s="9"/>
      <c r="C280" s="9">
        <f>0/1</f>
        <v>0</v>
      </c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2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2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2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2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2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2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2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2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2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2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2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2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2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2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2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2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2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2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2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2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2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2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2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2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2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2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2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2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2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2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2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2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2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2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2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2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2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2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2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2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2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2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2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2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2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2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2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2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2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2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2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2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2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2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2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2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2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2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2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2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2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2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2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2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2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2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2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2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2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2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2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2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2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2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2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2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2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2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2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2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2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2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2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2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2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2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2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2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2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2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2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2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2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2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2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2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2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2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2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2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2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2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2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2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2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2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2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2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2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2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2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2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2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2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2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2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2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2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2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2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2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2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2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2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2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2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2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2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2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2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2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2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2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2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2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2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2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2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2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2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2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2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2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2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2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2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2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2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2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2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2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2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2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2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2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2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2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2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2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2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2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2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2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2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2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2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2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2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2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2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2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2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2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2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2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2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2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2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2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2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2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2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2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2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2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2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2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2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2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2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2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2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2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2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2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2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2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2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2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2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2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2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2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2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2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2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2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2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2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2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2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2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2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2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2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2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2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2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2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2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2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2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2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2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2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2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2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2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2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2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2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2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2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2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2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2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2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2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2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2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2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2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2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2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2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2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2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2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2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2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2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2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2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2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2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2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2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2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2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2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2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2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2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2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2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2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2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2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2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2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2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2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2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2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2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2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2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2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2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2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2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2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2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2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2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2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2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2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2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2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2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2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2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2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2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2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2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2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2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2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2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2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2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2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2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2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2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2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2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2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2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2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2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2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2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2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2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2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2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2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2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2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2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2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2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2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2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2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2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2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2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2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2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2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2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2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2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2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2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2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2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2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2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2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2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2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2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2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2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2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2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2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2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2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2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2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2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2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2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2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2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2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2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2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2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2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2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2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2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2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2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2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2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2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2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2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2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2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2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2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2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2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2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2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2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2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2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2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2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2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2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2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2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2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2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2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2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2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2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2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2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2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2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2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2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2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2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2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2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2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2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2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2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2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2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2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2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2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2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2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2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2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2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2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2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2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2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2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2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2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2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2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2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2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2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2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2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2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2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2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2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2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2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2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2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2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2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2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2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2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2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2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2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2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2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2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2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2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2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2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2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2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2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2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2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2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2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2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2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2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2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2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2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2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2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2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2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2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2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2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2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2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2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2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2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2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2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2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2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2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2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2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2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2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2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2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2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2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2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2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2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2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2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2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2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2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2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2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2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2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2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2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2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2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2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2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2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2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2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2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2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2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2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2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2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2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2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2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2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2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2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2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2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2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2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2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2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2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2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2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2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2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2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2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2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2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2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2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2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2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2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2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2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2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2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2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2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2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2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2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2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2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2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2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2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2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2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2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2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2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2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2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2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2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2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2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2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2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2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2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2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2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2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2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2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2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2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2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2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2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2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2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2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2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2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2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2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2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2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2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2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2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2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2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2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2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2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2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2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2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2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2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2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2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2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2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2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2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2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2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2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2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2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2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2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2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2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2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2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2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2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2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2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2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2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2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2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2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2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2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2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2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2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2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2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2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2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2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2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2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2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2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2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2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2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2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2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2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2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2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2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2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2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2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2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2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2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2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2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2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2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2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2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2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2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2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2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2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2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2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2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2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2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2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2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2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2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2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2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2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2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2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2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2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2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2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2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2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2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2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2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2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2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2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2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2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2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2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2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2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2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2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2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2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2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2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2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2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2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2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0.75" footer="0.0" header="0.0" left="0.7" right="0.7" top="0.75"/>
  <pageSetup paperSize="9" orientation="portrait"/>
  <drawing r:id="rId1"/>
</worksheet>
</file>