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DELL 2024 backup\IAQS\ug sem 5\mda\Roll No.-710\Roll No.-710\"/>
    </mc:Choice>
  </mc:AlternateContent>
  <xr:revisionPtr revIDLastSave="0" documentId="13_ncr:1_{451E8F9C-3416-4842-9C9E-E986B48864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ameters" sheetId="2" r:id="rId1"/>
    <sheet name="Campaign" sheetId="4" r:id="rId2"/>
    <sheet name="Q1A-New donation" sheetId="6" r:id="rId3"/>
    <sheet name="Q1B-Additional Returns" sheetId="7" r:id="rId4"/>
    <sheet name="Q1C-Charts" sheetId="5" r:id="rId5"/>
  </sheets>
  <definedNames>
    <definedName name="add_returns">Parameters!$C$11</definedName>
    <definedName name="asset">Parameters!$C$5</definedName>
    <definedName name="camp_cont">Parameters!$C$9</definedName>
    <definedName name="infl">Parameters!$C$6</definedName>
    <definedName name="interest">Parameters!$B$14:$D$28</definedName>
    <definedName name="liab">Parameters!$C$4</definedName>
    <definedName name="new_donation">Parameters!$D$9</definedName>
    <definedName name="outgo">Parameters!$B$14:$C$28</definedName>
    <definedName name="target_cont">Parameters!#REF!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4" i="5"/>
  <c r="L6" i="4"/>
  <c r="C31" i="2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  <c r="R21" i="7"/>
  <c r="A6" i="7"/>
  <c r="A7" i="7" s="1"/>
  <c r="J5" i="7"/>
  <c r="H5" i="7"/>
  <c r="D5" i="7"/>
  <c r="C5" i="7"/>
  <c r="B5" i="7"/>
  <c r="K5" i="6"/>
  <c r="R21" i="6" s="1"/>
  <c r="B6" i="6"/>
  <c r="E6" i="6" s="1"/>
  <c r="I5" i="6"/>
  <c r="E5" i="6"/>
  <c r="D5" i="6"/>
  <c r="J5" i="6" s="1"/>
  <c r="C5" i="6"/>
  <c r="E5" i="7" l="1"/>
  <c r="F5" i="7" s="1"/>
  <c r="O5" i="7"/>
  <c r="J7" i="7"/>
  <c r="D7" i="7"/>
  <c r="A8" i="7"/>
  <c r="C7" i="7"/>
  <c r="I7" i="7" s="1"/>
  <c r="I5" i="7"/>
  <c r="L5" i="7" s="1"/>
  <c r="C6" i="7"/>
  <c r="I6" i="7" s="1"/>
  <c r="D6" i="7"/>
  <c r="J6" i="7"/>
  <c r="B7" i="6"/>
  <c r="D7" i="6" s="1"/>
  <c r="J7" i="6" s="1"/>
  <c r="K6" i="6"/>
  <c r="L5" i="6"/>
  <c r="M5" i="6" s="1"/>
  <c r="I6" i="6" s="1"/>
  <c r="O5" i="6"/>
  <c r="F5" i="6"/>
  <c r="G5" i="6" s="1"/>
  <c r="D6" i="6"/>
  <c r="J6" i="6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7" i="6" l="1"/>
  <c r="D8" i="7"/>
  <c r="C8" i="7"/>
  <c r="I8" i="7" s="1"/>
  <c r="J8" i="7"/>
  <c r="A9" i="7"/>
  <c r="K5" i="7"/>
  <c r="M5" i="7" s="1"/>
  <c r="B6" i="7"/>
  <c r="B8" i="6"/>
  <c r="K7" i="6"/>
  <c r="P5" i="6"/>
  <c r="C6" i="6"/>
  <c r="L6" i="6"/>
  <c r="M6" i="6" s="1"/>
  <c r="I7" i="6" s="1"/>
  <c r="B31" i="2"/>
  <c r="H6" i="7" l="1"/>
  <c r="P5" i="7"/>
  <c r="E6" i="7"/>
  <c r="F6" i="7" s="1"/>
  <c r="A10" i="7"/>
  <c r="D9" i="7"/>
  <c r="C9" i="7"/>
  <c r="I9" i="7" s="1"/>
  <c r="J9" i="7"/>
  <c r="K8" i="6"/>
  <c r="B9" i="6"/>
  <c r="E8" i="6"/>
  <c r="D8" i="6"/>
  <c r="J8" i="6" s="1"/>
  <c r="L7" i="6"/>
  <c r="M7" i="6" s="1"/>
  <c r="I8" i="6" s="1"/>
  <c r="F6" i="6"/>
  <c r="G6" i="6" s="1"/>
  <c r="O6" i="6"/>
  <c r="H5" i="4"/>
  <c r="B5" i="4"/>
  <c r="O6" i="7" l="1"/>
  <c r="L6" i="7"/>
  <c r="B7" i="7"/>
  <c r="J10" i="7"/>
  <c r="A11" i="7"/>
  <c r="C10" i="7"/>
  <c r="I10" i="7" s="1"/>
  <c r="D10" i="7"/>
  <c r="K6" i="7"/>
  <c r="K9" i="6"/>
  <c r="B10" i="6"/>
  <c r="E9" i="6"/>
  <c r="D9" i="6"/>
  <c r="J9" i="6" s="1"/>
  <c r="L8" i="6"/>
  <c r="M8" i="6" s="1"/>
  <c r="I9" i="6" s="1"/>
  <c r="P6" i="6"/>
  <c r="C7" i="6"/>
  <c r="D5" i="4"/>
  <c r="M6" i="7" l="1"/>
  <c r="H7" i="7" s="1"/>
  <c r="E7" i="7"/>
  <c r="F7" i="7" s="1"/>
  <c r="D11" i="7"/>
  <c r="C11" i="7"/>
  <c r="I11" i="7" s="1"/>
  <c r="J11" i="7"/>
  <c r="A12" i="7"/>
  <c r="K10" i="6"/>
  <c r="B11" i="6"/>
  <c r="D10" i="6"/>
  <c r="J10" i="6" s="1"/>
  <c r="E10" i="6"/>
  <c r="L9" i="6"/>
  <c r="M9" i="6" s="1"/>
  <c r="I10" i="6" s="1"/>
  <c r="F7" i="6"/>
  <c r="G7" i="6" s="1"/>
  <c r="O7" i="6"/>
  <c r="J5" i="4"/>
  <c r="P6" i="7" l="1"/>
  <c r="O7" i="7"/>
  <c r="L7" i="7"/>
  <c r="B8" i="7"/>
  <c r="K7" i="7"/>
  <c r="J12" i="7"/>
  <c r="A13" i="7"/>
  <c r="C12" i="7"/>
  <c r="I12" i="7" s="1"/>
  <c r="D12" i="7"/>
  <c r="K11" i="6"/>
  <c r="E11" i="6"/>
  <c r="D11" i="6"/>
  <c r="J11" i="6" s="1"/>
  <c r="B12" i="6"/>
  <c r="L10" i="6"/>
  <c r="M10" i="6" s="1"/>
  <c r="I11" i="6" s="1"/>
  <c r="C8" i="6"/>
  <c r="P7" i="6"/>
  <c r="A6" i="4"/>
  <c r="D6" i="4" s="1"/>
  <c r="N5" i="4"/>
  <c r="C5" i="4"/>
  <c r="E5" i="4" s="1"/>
  <c r="C30" i="2"/>
  <c r="B30" i="2"/>
  <c r="C33" i="2"/>
  <c r="B33" i="2"/>
  <c r="C32" i="2"/>
  <c r="B32" i="2"/>
  <c r="M7" i="7" l="1"/>
  <c r="H8" i="7" s="1"/>
  <c r="C13" i="7"/>
  <c r="I13" i="7" s="1"/>
  <c r="A14" i="7"/>
  <c r="J13" i="7"/>
  <c r="D13" i="7"/>
  <c r="E8" i="7"/>
  <c r="F8" i="7" s="1"/>
  <c r="K12" i="6"/>
  <c r="D12" i="6"/>
  <c r="J12" i="6" s="1"/>
  <c r="B13" i="6"/>
  <c r="E12" i="6"/>
  <c r="O8" i="6"/>
  <c r="F8" i="6"/>
  <c r="G8" i="6" s="1"/>
  <c r="L11" i="6"/>
  <c r="M11" i="6" s="1"/>
  <c r="I12" i="6" s="1"/>
  <c r="J6" i="4"/>
  <c r="F5" i="4"/>
  <c r="C6" i="4"/>
  <c r="I6" i="4" s="1"/>
  <c r="A7" i="4"/>
  <c r="D7" i="4" s="1"/>
  <c r="I5" i="4"/>
  <c r="K8" i="7" l="1"/>
  <c r="O8" i="7"/>
  <c r="P7" i="7"/>
  <c r="L8" i="7"/>
  <c r="B9" i="7"/>
  <c r="A15" i="7"/>
  <c r="D14" i="7"/>
  <c r="J14" i="7"/>
  <c r="C14" i="7"/>
  <c r="I14" i="7" s="1"/>
  <c r="K13" i="6"/>
  <c r="B14" i="6"/>
  <c r="E13" i="6"/>
  <c r="D13" i="6"/>
  <c r="J13" i="6" s="1"/>
  <c r="L12" i="6"/>
  <c r="M12" i="6" s="1"/>
  <c r="I13" i="6" s="1"/>
  <c r="C9" i="6"/>
  <c r="P8" i="6"/>
  <c r="J7" i="4"/>
  <c r="K5" i="4"/>
  <c r="L5" i="4" s="1"/>
  <c r="A8" i="4"/>
  <c r="D8" i="4" s="1"/>
  <c r="C7" i="4"/>
  <c r="I7" i="4" s="1"/>
  <c r="B6" i="4"/>
  <c r="M8" i="7" l="1"/>
  <c r="H9" i="7" s="1"/>
  <c r="O9" i="7" s="1"/>
  <c r="P8" i="7"/>
  <c r="J15" i="7"/>
  <c r="D15" i="7"/>
  <c r="A16" i="7"/>
  <c r="C15" i="7"/>
  <c r="I15" i="7" s="1"/>
  <c r="E9" i="7"/>
  <c r="F9" i="7" s="1"/>
  <c r="K14" i="6"/>
  <c r="B15" i="6"/>
  <c r="E14" i="6"/>
  <c r="D14" i="6"/>
  <c r="J14" i="6" s="1"/>
  <c r="L13" i="6"/>
  <c r="M13" i="6" s="1"/>
  <c r="I14" i="6" s="1"/>
  <c r="F9" i="6"/>
  <c r="G9" i="6" s="1"/>
  <c r="O9" i="6"/>
  <c r="J8" i="4"/>
  <c r="H6" i="4"/>
  <c r="E6" i="4"/>
  <c r="F6" i="4" s="1"/>
  <c r="A9" i="4"/>
  <c r="D9" i="4" s="1"/>
  <c r="C8" i="4"/>
  <c r="I8" i="4" s="1"/>
  <c r="L9" i="7" l="1"/>
  <c r="K9" i="7"/>
  <c r="B10" i="7"/>
  <c r="D16" i="7"/>
  <c r="C16" i="7"/>
  <c r="I16" i="7" s="1"/>
  <c r="J16" i="7"/>
  <c r="A17" i="7"/>
  <c r="K15" i="6"/>
  <c r="D15" i="6"/>
  <c r="J15" i="6" s="1"/>
  <c r="E15" i="6"/>
  <c r="B16" i="6"/>
  <c r="P9" i="6"/>
  <c r="C10" i="6"/>
  <c r="L14" i="6"/>
  <c r="M14" i="6" s="1"/>
  <c r="I15" i="6" s="1"/>
  <c r="J9" i="4"/>
  <c r="N6" i="4"/>
  <c r="O5" i="4"/>
  <c r="A10" i="4"/>
  <c r="D10" i="4" s="1"/>
  <c r="C9" i="4"/>
  <c r="I9" i="4" s="1"/>
  <c r="B7" i="4"/>
  <c r="K6" i="4"/>
  <c r="M9" i="7" l="1"/>
  <c r="P9" i="7" s="1"/>
  <c r="E10" i="7"/>
  <c r="F10" i="7" s="1"/>
  <c r="A18" i="7"/>
  <c r="D17" i="7"/>
  <c r="C17" i="7"/>
  <c r="I17" i="7" s="1"/>
  <c r="J17" i="7"/>
  <c r="K16" i="6"/>
  <c r="D16" i="6"/>
  <c r="J16" i="6" s="1"/>
  <c r="B17" i="6"/>
  <c r="E16" i="6"/>
  <c r="L15" i="6"/>
  <c r="M15" i="6" s="1"/>
  <c r="I16" i="6" s="1"/>
  <c r="F10" i="6"/>
  <c r="G10" i="6" s="1"/>
  <c r="O10" i="6"/>
  <c r="J10" i="4"/>
  <c r="H7" i="4"/>
  <c r="O6" i="4"/>
  <c r="E7" i="4"/>
  <c r="F7" i="4" s="1"/>
  <c r="A11" i="4"/>
  <c r="D11" i="4" s="1"/>
  <c r="C10" i="4"/>
  <c r="I10" i="4" s="1"/>
  <c r="H10" i="7" l="1"/>
  <c r="B11" i="7"/>
  <c r="J18" i="7"/>
  <c r="C18" i="7"/>
  <c r="I18" i="7" s="1"/>
  <c r="A19" i="7"/>
  <c r="D18" i="7"/>
  <c r="K17" i="6"/>
  <c r="B18" i="6"/>
  <c r="D17" i="6"/>
  <c r="J17" i="6" s="1"/>
  <c r="E17" i="6"/>
  <c r="C11" i="6"/>
  <c r="P10" i="6"/>
  <c r="L16" i="6"/>
  <c r="M16" i="6" s="1"/>
  <c r="I17" i="6" s="1"/>
  <c r="J11" i="4"/>
  <c r="N7" i="4"/>
  <c r="B8" i="4"/>
  <c r="A12" i="4"/>
  <c r="D12" i="4" s="1"/>
  <c r="C11" i="4"/>
  <c r="I11" i="4" s="1"/>
  <c r="K7" i="4"/>
  <c r="L7" i="4" s="1"/>
  <c r="L10" i="7" l="1"/>
  <c r="K10" i="7"/>
  <c r="O10" i="7"/>
  <c r="D19" i="7"/>
  <c r="C19" i="7"/>
  <c r="I19" i="7" s="1"/>
  <c r="J19" i="7"/>
  <c r="E11" i="7"/>
  <c r="F11" i="7"/>
  <c r="K18" i="6"/>
  <c r="B19" i="6"/>
  <c r="E18" i="6"/>
  <c r="D18" i="6"/>
  <c r="J18" i="6" s="1"/>
  <c r="L17" i="6"/>
  <c r="M17" i="6" s="1"/>
  <c r="I18" i="6" s="1"/>
  <c r="O11" i="6"/>
  <c r="F11" i="6"/>
  <c r="G11" i="6" s="1"/>
  <c r="J12" i="4"/>
  <c r="H8" i="4"/>
  <c r="A13" i="4"/>
  <c r="D13" i="4" s="1"/>
  <c r="C12" i="4"/>
  <c r="I12" i="4" s="1"/>
  <c r="E8" i="4"/>
  <c r="F8" i="4" s="1"/>
  <c r="M10" i="7" l="1"/>
  <c r="H11" i="7" s="1"/>
  <c r="B12" i="7"/>
  <c r="K19" i="6"/>
  <c r="D19" i="6"/>
  <c r="J19" i="6" s="1"/>
  <c r="E19" i="6"/>
  <c r="P11" i="6"/>
  <c r="C12" i="6"/>
  <c r="L18" i="6"/>
  <c r="M18" i="6" s="1"/>
  <c r="I19" i="6" s="1"/>
  <c r="J13" i="4"/>
  <c r="N8" i="4"/>
  <c r="O7" i="4"/>
  <c r="A14" i="4"/>
  <c r="C13" i="4"/>
  <c r="I13" i="4" s="1"/>
  <c r="B9" i="4"/>
  <c r="K8" i="4"/>
  <c r="L8" i="4" s="1"/>
  <c r="P10" i="7" l="1"/>
  <c r="L11" i="7"/>
  <c r="K11" i="7"/>
  <c r="O11" i="7"/>
  <c r="E12" i="7"/>
  <c r="F12" i="7" s="1"/>
  <c r="L19" i="6"/>
  <c r="M19" i="6" s="1"/>
  <c r="F12" i="6"/>
  <c r="G12" i="6" s="1"/>
  <c r="O12" i="6"/>
  <c r="A15" i="4"/>
  <c r="D15" i="4" s="1"/>
  <c r="D14" i="4"/>
  <c r="J15" i="4"/>
  <c r="J14" i="4"/>
  <c r="H9" i="4"/>
  <c r="C14" i="4"/>
  <c r="I14" i="4" s="1"/>
  <c r="E9" i="4"/>
  <c r="F9" i="4" s="1"/>
  <c r="M11" i="7" l="1"/>
  <c r="P11" i="7" s="1"/>
  <c r="B13" i="7"/>
  <c r="C13" i="6"/>
  <c r="P12" i="6"/>
  <c r="C15" i="4"/>
  <c r="I15" i="4" s="1"/>
  <c r="A16" i="4"/>
  <c r="D16" i="4" s="1"/>
  <c r="J16" i="4"/>
  <c r="A17" i="4"/>
  <c r="D17" i="4" s="1"/>
  <c r="C16" i="4"/>
  <c r="I16" i="4" s="1"/>
  <c r="N9" i="4"/>
  <c r="O8" i="4"/>
  <c r="B10" i="4"/>
  <c r="K9" i="4"/>
  <c r="L9" i="4" s="1"/>
  <c r="H12" i="7" l="1"/>
  <c r="E13" i="7"/>
  <c r="F13" i="7" s="1"/>
  <c r="F13" i="6"/>
  <c r="G13" i="6" s="1"/>
  <c r="O13" i="6"/>
  <c r="C17" i="4"/>
  <c r="I17" i="4" s="1"/>
  <c r="J17" i="4"/>
  <c r="A18" i="4"/>
  <c r="D18" i="4" s="1"/>
  <c r="H10" i="4"/>
  <c r="E10" i="4"/>
  <c r="F10" i="4" s="1"/>
  <c r="L12" i="7" l="1"/>
  <c r="K12" i="7"/>
  <c r="O12" i="7"/>
  <c r="B14" i="7"/>
  <c r="C14" i="6"/>
  <c r="P13" i="6"/>
  <c r="A19" i="4"/>
  <c r="D19" i="4" s="1"/>
  <c r="C18" i="4"/>
  <c r="I18" i="4" s="1"/>
  <c r="J18" i="4"/>
  <c r="N10" i="4"/>
  <c r="O9" i="4"/>
  <c r="B11" i="4"/>
  <c r="K10" i="4"/>
  <c r="L10" i="4" s="1"/>
  <c r="M12" i="7" l="1"/>
  <c r="P12" i="7" s="1"/>
  <c r="E14" i="7"/>
  <c r="F14" i="7" s="1"/>
  <c r="F14" i="6"/>
  <c r="G14" i="6" s="1"/>
  <c r="O14" i="6"/>
  <c r="J19" i="4"/>
  <c r="C19" i="4"/>
  <c r="I19" i="4" s="1"/>
  <c r="H11" i="4"/>
  <c r="E11" i="4"/>
  <c r="F11" i="4" s="1"/>
  <c r="H13" i="7" l="1"/>
  <c r="L13" i="7" s="1"/>
  <c r="B15" i="7"/>
  <c r="P14" i="6"/>
  <c r="C15" i="6"/>
  <c r="N11" i="4"/>
  <c r="O10" i="4"/>
  <c r="B12" i="4"/>
  <c r="K11" i="4"/>
  <c r="L11" i="4" s="1"/>
  <c r="O13" i="7" l="1"/>
  <c r="K13" i="7"/>
  <c r="M13" i="7" s="1"/>
  <c r="P13" i="7" s="1"/>
  <c r="E15" i="7"/>
  <c r="F15" i="7" s="1"/>
  <c r="F15" i="6"/>
  <c r="G15" i="6" s="1"/>
  <c r="O15" i="6"/>
  <c r="H12" i="4"/>
  <c r="E12" i="4"/>
  <c r="F12" i="4" s="1"/>
  <c r="H14" i="7" l="1"/>
  <c r="B16" i="7"/>
  <c r="C16" i="6"/>
  <c r="P15" i="6"/>
  <c r="N12" i="4"/>
  <c r="O11" i="4"/>
  <c r="B13" i="4"/>
  <c r="K12" i="4"/>
  <c r="L12" i="4" s="1"/>
  <c r="L14" i="7" l="1"/>
  <c r="K14" i="7"/>
  <c r="O14" i="7"/>
  <c r="E16" i="7"/>
  <c r="F16" i="7" s="1"/>
  <c r="O16" i="6"/>
  <c r="F16" i="6"/>
  <c r="G16" i="6" s="1"/>
  <c r="H13" i="4"/>
  <c r="O12" i="4"/>
  <c r="E13" i="4"/>
  <c r="F13" i="4" s="1"/>
  <c r="M14" i="7" l="1"/>
  <c r="P14" i="7" s="1"/>
  <c r="B17" i="7"/>
  <c r="C17" i="6"/>
  <c r="P16" i="6"/>
  <c r="N13" i="4"/>
  <c r="B14" i="4"/>
  <c r="K13" i="4"/>
  <c r="L13" i="4" s="1"/>
  <c r="H15" i="7" l="1"/>
  <c r="O15" i="7" s="1"/>
  <c r="E17" i="7"/>
  <c r="F17" i="7" s="1"/>
  <c r="F17" i="6"/>
  <c r="G17" i="6" s="1"/>
  <c r="O17" i="6"/>
  <c r="H14" i="4"/>
  <c r="E14" i="4"/>
  <c r="F14" i="4" s="1"/>
  <c r="K15" i="7" l="1"/>
  <c r="L15" i="7"/>
  <c r="M15" i="7" s="1"/>
  <c r="P15" i="7" s="1"/>
  <c r="B18" i="7"/>
  <c r="P17" i="6"/>
  <c r="C18" i="6"/>
  <c r="B15" i="4"/>
  <c r="N14" i="4"/>
  <c r="O13" i="4"/>
  <c r="K14" i="4"/>
  <c r="L14" i="4" s="1"/>
  <c r="H16" i="7" l="1"/>
  <c r="K16" i="7" s="1"/>
  <c r="E18" i="7"/>
  <c r="F18" i="7" s="1"/>
  <c r="F18" i="6"/>
  <c r="G18" i="6" s="1"/>
  <c r="O18" i="6"/>
  <c r="H15" i="4"/>
  <c r="E15" i="4"/>
  <c r="F15" i="4" s="1"/>
  <c r="L16" i="7" l="1"/>
  <c r="M16" i="7" s="1"/>
  <c r="P16" i="7" s="1"/>
  <c r="O16" i="7"/>
  <c r="B19" i="7"/>
  <c r="C19" i="6"/>
  <c r="P18" i="6"/>
  <c r="B16" i="4"/>
  <c r="K15" i="4"/>
  <c r="L15" i="4" s="1"/>
  <c r="N15" i="4"/>
  <c r="O14" i="4"/>
  <c r="H17" i="7" l="1"/>
  <c r="L17" i="7" s="1"/>
  <c r="E19" i="7"/>
  <c r="F19" i="7"/>
  <c r="O19" i="6"/>
  <c r="F19" i="6"/>
  <c r="G19" i="6" s="1"/>
  <c r="P19" i="6" s="1"/>
  <c r="H16" i="4"/>
  <c r="N16" i="4" s="1"/>
  <c r="O15" i="4"/>
  <c r="E16" i="4"/>
  <c r="F16" i="4" s="1"/>
  <c r="R20" i="6" l="1"/>
  <c r="Q19" i="6"/>
  <c r="K17" i="7"/>
  <c r="M17" i="7" s="1"/>
  <c r="P17" i="7" s="1"/>
  <c r="O17" i="7"/>
  <c r="B17" i="4"/>
  <c r="K16" i="4"/>
  <c r="L16" i="4" s="1"/>
  <c r="H18" i="7" l="1"/>
  <c r="L18" i="7" s="1"/>
  <c r="H17" i="4"/>
  <c r="N17" i="4" s="1"/>
  <c r="O16" i="4"/>
  <c r="E17" i="4"/>
  <c r="F17" i="4" s="1"/>
  <c r="O18" i="7" l="1"/>
  <c r="K18" i="7"/>
  <c r="M18" i="7" s="1"/>
  <c r="P18" i="7" s="1"/>
  <c r="B18" i="4"/>
  <c r="K17" i="4"/>
  <c r="L17" i="4" s="1"/>
  <c r="H18" i="4" s="1"/>
  <c r="H19" i="7" l="1"/>
  <c r="L19" i="7" s="1"/>
  <c r="K18" i="4"/>
  <c r="L18" i="4" s="1"/>
  <c r="H19" i="4" s="1"/>
  <c r="O17" i="4"/>
  <c r="N18" i="4"/>
  <c r="E18" i="4"/>
  <c r="F18" i="4" s="1"/>
  <c r="O19" i="7" l="1"/>
  <c r="K19" i="7"/>
  <c r="M19" i="7"/>
  <c r="P19" i="7" s="1"/>
  <c r="B19" i="4"/>
  <c r="O18" i="4"/>
  <c r="K19" i="4"/>
  <c r="L19" i="4" s="1"/>
  <c r="R20" i="7" l="1"/>
  <c r="Q19" i="7"/>
  <c r="E19" i="4"/>
  <c r="F19" i="4" s="1"/>
  <c r="N19" i="4"/>
  <c r="O19" i="4" l="1"/>
</calcChain>
</file>

<file path=xl/sharedStrings.xml><?xml version="1.0" encoding="utf-8"?>
<sst xmlns="http://schemas.openxmlformats.org/spreadsheetml/2006/main" count="97" uniqueCount="59">
  <si>
    <t>Year</t>
  </si>
  <si>
    <t>Start date</t>
  </si>
  <si>
    <t>Parameters</t>
  </si>
  <si>
    <t>Interest</t>
  </si>
  <si>
    <t>Min</t>
  </si>
  <si>
    <t>Max</t>
  </si>
  <si>
    <t>Average</t>
  </si>
  <si>
    <t>Count</t>
  </si>
  <si>
    <t>Checks:</t>
  </si>
  <si>
    <t>Campaign</t>
  </si>
  <si>
    <t>Notes:</t>
  </si>
  <si>
    <t>Outgo graph shows a reasonably smooth upward trend - no reason to doubt data</t>
  </si>
  <si>
    <t>Checks do not give any reason to doubt the data.</t>
  </si>
  <si>
    <t>Inflation</t>
  </si>
  <si>
    <t>Forward yields graph shows a rough upward trend. Although not smooth, there is no reason to doubt data.</t>
  </si>
  <si>
    <t>liab</t>
  </si>
  <si>
    <t>asset</t>
  </si>
  <si>
    <t>camp_cont</t>
  </si>
  <si>
    <t>infl</t>
  </si>
  <si>
    <t>Hilltop - Balance sheet projections allowing for the campaign</t>
  </si>
  <si>
    <t>Interest rates (NBI forward yields)</t>
  </si>
  <si>
    <t>Term (years)</t>
  </si>
  <si>
    <t xml:space="preserve">Interest rate </t>
  </si>
  <si>
    <t>Calendar year</t>
  </si>
  <si>
    <t xml:space="preserve">Projection Year </t>
  </si>
  <si>
    <t>outgo</t>
  </si>
  <si>
    <t>Liability at start date (Rs. k)</t>
  </si>
  <si>
    <t>Assets at start date (Rs. k)</t>
  </si>
  <si>
    <t>Outgo (Rs.)</t>
  </si>
  <si>
    <t>Donations (Rs. k)</t>
  </si>
  <si>
    <t>Liability at start of year (Rs. 000)</t>
  </si>
  <si>
    <t>Outgo (Rs, 000)</t>
  </si>
  <si>
    <t>Investment return (Rs. 000)</t>
  </si>
  <si>
    <t>Liability at year end (Rs. 000)</t>
  </si>
  <si>
    <t>Assets at start of year (Rs. 000)</t>
  </si>
  <si>
    <t>Outgo (Rs. 000)</t>
  </si>
  <si>
    <t>Donations (Rs. 000)</t>
  </si>
  <si>
    <t>Investment Return   (Rs. 000)</t>
  </si>
  <si>
    <t>Assets at end of year (Rs. 000)</t>
  </si>
  <si>
    <t>Deficit at start of year (Rs. 000)</t>
  </si>
  <si>
    <t>Deficit at end of year (Rs. 000)</t>
  </si>
  <si>
    <t>Goal Seek steps</t>
  </si>
  <si>
    <t>Set cell</t>
  </si>
  <si>
    <t>P19</t>
  </si>
  <si>
    <t>new_donation</t>
  </si>
  <si>
    <t>new donation</t>
  </si>
  <si>
    <t>deficit</t>
  </si>
  <si>
    <t>To value</t>
  </si>
  <si>
    <t>By changing cell</t>
  </si>
  <si>
    <t>Parameters!D9</t>
  </si>
  <si>
    <t>Additional Investment return</t>
  </si>
  <si>
    <t>Hilltop - Balance sheet projections allowing for the campaign with deficit=0 at the end of 15 years</t>
  </si>
  <si>
    <t>Additional Return   (Rs. 000)</t>
  </si>
  <si>
    <t>Additional returns</t>
  </si>
  <si>
    <t>Deficit</t>
  </si>
  <si>
    <t>Parameters!C11</t>
  </si>
  <si>
    <t>Donation Target</t>
  </si>
  <si>
    <t>All scenarios</t>
  </si>
  <si>
    <t>Additonal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</si>
</sst>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_-;\-* #,##0.00_-;_-* &quot;-&quot;??_-;_-@_-"/>
    <numFmt numFmtId="165" formatCode="0.000"/>
    <numFmt numFmtId="166" formatCode="0.0"/>
    <numFmt numFmtId="167" formatCode="_-* #,##0.0_-;\-* #,##0.0_-;_-* &quot;-&quot;??_-;_-@_-"/>
    <numFmt numFmtId="168" formatCode="0.0%"/>
    <numFmt numFmtId="169" formatCode="_-* #,##0_-;\-* #,##0_-;_-* &quot;-&quot;??_-;_-@_-"/>
    <numFmt numFmtId="170" formatCode="_-* #,##0.000_-;\-* #,##0.000_-;_-* &quot;-&quot;??_-;_-@_-"/>
    <numFmt numFmtId="171" formatCode="&quot;₹&quot;\ #,##0.00"/>
    <numFmt numFmtId="172" formatCode="0.0000"/>
    <numFmt numFmtId="173" formatCode="0.0000%"/>
    <numFmt numFmtId="174" formatCode="_-* #,##0.00000_-;\-* #,##0.00000_-;_-* &quot;-&quot;??_-;_-@_-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trike/>
      <sz val="10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CE0DE"/>
        <bgColor rgb="FF000000"/>
      </patternFill>
    </fill>
    <fill>
      <patternFill patternType="solid">
        <fgColor rgb="FFDEDEDE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39997558519241921"/>
        <bgColor rgb="FF000000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/>
      <right style="mediumDashed">
        <color rgb="FFFF0000"/>
      </right>
      <top/>
      <bottom/>
      <diagonal/>
    </border>
    <border>
      <left/>
      <right style="mediumDashed">
        <color rgb="FFFF0000"/>
      </right>
      <top/>
      <bottom style="mediumDashed">
        <color rgb="FFFF0000"/>
      </bottom>
      <diagonal/>
    </border>
    <border>
      <left style="mediumDashDot">
        <color rgb="FFC00000"/>
      </left>
      <right/>
      <top style="mediumDashDot">
        <color rgb="FFC00000"/>
      </top>
      <bottom/>
      <diagonal/>
    </border>
    <border>
      <left/>
      <right style="mediumDashDot">
        <color rgb="FFC00000"/>
      </right>
      <top style="mediumDashDot">
        <color rgb="FFC00000"/>
      </top>
      <bottom/>
      <diagonal/>
    </border>
    <border>
      <left style="mediumDashDot">
        <color rgb="FFC00000"/>
      </left>
      <right/>
      <top/>
      <bottom/>
      <diagonal/>
    </border>
    <border>
      <left/>
      <right style="mediumDashDot">
        <color rgb="FFC00000"/>
      </right>
      <top/>
      <bottom/>
      <diagonal/>
    </border>
    <border>
      <left style="mediumDashDot">
        <color rgb="FFC00000"/>
      </left>
      <right/>
      <top/>
      <bottom style="mediumDashDot">
        <color rgb="FFC00000"/>
      </bottom>
      <diagonal/>
    </border>
    <border>
      <left/>
      <right style="mediumDashDot">
        <color rgb="FFC00000"/>
      </right>
      <top/>
      <bottom style="mediumDashDot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2" fillId="0" borderId="0" xfId="0" applyFont="1" applyAlignment="1">
      <alignment horizontal="right"/>
    </xf>
    <xf numFmtId="14" fontId="3" fillId="0" borderId="0" xfId="0" applyNumberFormat="1" applyFont="1"/>
    <xf numFmtId="10" fontId="3" fillId="0" borderId="0" xfId="0" applyNumberFormat="1" applyFont="1"/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2" fillId="3" borderId="7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2" fillId="0" borderId="10" xfId="0" applyFont="1" applyBorder="1"/>
    <xf numFmtId="167" fontId="4" fillId="0" borderId="0" xfId="0" applyNumberFormat="1" applyFont="1" applyAlignment="1">
      <alignment horizontal="right" wrapText="1"/>
    </xf>
    <xf numFmtId="168" fontId="3" fillId="0" borderId="0" xfId="0" applyNumberFormat="1" applyFont="1"/>
    <xf numFmtId="166" fontId="3" fillId="0" borderId="0" xfId="0" applyNumberFormat="1" applyFont="1"/>
    <xf numFmtId="167" fontId="2" fillId="3" borderId="9" xfId="0" applyNumberFormat="1" applyFont="1" applyFill="1" applyBorder="1" applyAlignment="1">
      <alignment horizontal="center"/>
    </xf>
    <xf numFmtId="0" fontId="3" fillId="0" borderId="10" xfId="0" applyFont="1" applyBorder="1"/>
    <xf numFmtId="167" fontId="2" fillId="3" borderId="0" xfId="0" applyNumberFormat="1" applyFont="1" applyFill="1"/>
    <xf numFmtId="0" fontId="3" fillId="0" borderId="8" xfId="0" applyFont="1" applyBorder="1"/>
    <xf numFmtId="167" fontId="4" fillId="0" borderId="0" xfId="0" applyNumberFormat="1" applyFont="1"/>
    <xf numFmtId="167" fontId="3" fillId="0" borderId="0" xfId="0" applyNumberFormat="1" applyFont="1"/>
    <xf numFmtId="0" fontId="2" fillId="0" borderId="11" xfId="0" applyFont="1" applyBorder="1"/>
    <xf numFmtId="167" fontId="3" fillId="0" borderId="12" xfId="0" applyNumberFormat="1" applyFont="1" applyBorder="1"/>
    <xf numFmtId="167" fontId="4" fillId="0" borderId="12" xfId="0" applyNumberFormat="1" applyFont="1" applyBorder="1" applyAlignment="1">
      <alignment horizontal="right" wrapText="1"/>
    </xf>
    <xf numFmtId="168" fontId="3" fillId="0" borderId="12" xfId="0" applyNumberFormat="1" applyFont="1" applyBorder="1"/>
    <xf numFmtId="166" fontId="3" fillId="0" borderId="12" xfId="0" applyNumberFormat="1" applyFont="1" applyBorder="1"/>
    <xf numFmtId="167" fontId="2" fillId="3" borderId="13" xfId="0" applyNumberFormat="1" applyFont="1" applyFill="1" applyBorder="1" applyAlignment="1">
      <alignment horizontal="center"/>
    </xf>
    <xf numFmtId="0" fontId="3" fillId="0" borderId="14" xfId="0" applyFont="1" applyBorder="1"/>
    <xf numFmtId="0" fontId="5" fillId="0" borderId="0" xfId="0" applyFont="1"/>
    <xf numFmtId="169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10" fontId="6" fillId="0" borderId="0" xfId="0" applyNumberFormat="1" applyFont="1"/>
    <xf numFmtId="10" fontId="6" fillId="0" borderId="0" xfId="2" applyNumberFormat="1" applyFont="1" applyFill="1" applyBorder="1" applyAlignment="1"/>
    <xf numFmtId="165" fontId="4" fillId="0" borderId="0" xfId="2" applyNumberFormat="1" applyFont="1" applyFill="1" applyBorder="1" applyAlignment="1" applyProtection="1">
      <protection locked="0"/>
    </xf>
    <xf numFmtId="0" fontId="4" fillId="0" borderId="0" xfId="0" applyFont="1"/>
    <xf numFmtId="0" fontId="2" fillId="4" borderId="10" xfId="0" applyFont="1" applyFill="1" applyBorder="1"/>
    <xf numFmtId="167" fontId="3" fillId="4" borderId="0" xfId="0" applyNumberFormat="1" applyFont="1" applyFill="1"/>
    <xf numFmtId="167" fontId="4" fillId="5" borderId="0" xfId="0" applyNumberFormat="1" applyFont="1" applyFill="1" applyAlignment="1">
      <alignment horizontal="right" wrapText="1"/>
    </xf>
    <xf numFmtId="168" fontId="3" fillId="5" borderId="0" xfId="0" applyNumberFormat="1" applyFont="1" applyFill="1"/>
    <xf numFmtId="166" fontId="3" fillId="4" borderId="0" xfId="0" applyNumberFormat="1" applyFont="1" applyFill="1"/>
    <xf numFmtId="167" fontId="2" fillId="4" borderId="9" xfId="0" applyNumberFormat="1" applyFont="1" applyFill="1" applyBorder="1" applyAlignment="1">
      <alignment horizontal="center"/>
    </xf>
    <xf numFmtId="0" fontId="3" fillId="4" borderId="8" xfId="0" applyFont="1" applyFill="1" applyBorder="1"/>
    <xf numFmtId="167" fontId="4" fillId="4" borderId="0" xfId="0" applyNumberFormat="1" applyFont="1" applyFill="1" applyAlignment="1">
      <alignment horizontal="right" wrapText="1"/>
    </xf>
    <xf numFmtId="166" fontId="3" fillId="5" borderId="0" xfId="0" applyNumberFormat="1" applyFont="1" applyFill="1"/>
    <xf numFmtId="167" fontId="2" fillId="4" borderId="0" xfId="0" applyNumberFormat="1" applyFont="1" applyFill="1"/>
    <xf numFmtId="167" fontId="3" fillId="5" borderId="0" xfId="0" applyNumberFormat="1" applyFont="1" applyFill="1"/>
    <xf numFmtId="0" fontId="3" fillId="5" borderId="8" xfId="0" applyFont="1" applyFill="1" applyBorder="1"/>
    <xf numFmtId="167" fontId="2" fillId="3" borderId="9" xfId="0" applyNumberFormat="1" applyFont="1" applyFill="1" applyBorder="1"/>
    <xf numFmtId="167" fontId="2" fillId="4" borderId="9" xfId="0" applyNumberFormat="1" applyFont="1" applyFill="1" applyBorder="1"/>
    <xf numFmtId="167" fontId="4" fillId="0" borderId="0" xfId="0" applyNumberFormat="1" applyFont="1" applyAlignment="1">
      <alignment wrapText="1"/>
    </xf>
    <xf numFmtId="0" fontId="7" fillId="0" borderId="0" xfId="0" applyFont="1"/>
    <xf numFmtId="0" fontId="0" fillId="6" borderId="0" xfId="0" applyFill="1"/>
    <xf numFmtId="10" fontId="0" fillId="6" borderId="0" xfId="2" applyNumberFormat="1" applyFont="1" applyFill="1"/>
    <xf numFmtId="0" fontId="0" fillId="0" borderId="0" xfId="0" applyAlignment="1">
      <alignment wrapText="1"/>
    </xf>
    <xf numFmtId="1" fontId="3" fillId="2" borderId="1" xfId="0" applyNumberFormat="1" applyFont="1" applyFill="1" applyBorder="1"/>
    <xf numFmtId="0" fontId="8" fillId="0" borderId="0" xfId="0" applyFont="1"/>
    <xf numFmtId="164" fontId="3" fillId="2" borderId="1" xfId="1" applyFont="1" applyFill="1" applyBorder="1"/>
    <xf numFmtId="0" fontId="2" fillId="3" borderId="7" xfId="0" applyFont="1" applyFill="1" applyBorder="1" applyAlignment="1">
      <alignment horizontal="right" wrapText="1"/>
    </xf>
    <xf numFmtId="167" fontId="4" fillId="0" borderId="10" xfId="0" applyNumberFormat="1" applyFont="1" applyBorder="1"/>
    <xf numFmtId="167" fontId="4" fillId="4" borderId="10" xfId="0" applyNumberFormat="1" applyFont="1" applyFill="1" applyBorder="1"/>
    <xf numFmtId="167" fontId="4" fillId="5" borderId="10" xfId="0" applyNumberFormat="1" applyFont="1" applyFill="1" applyBorder="1"/>
    <xf numFmtId="167" fontId="4" fillId="0" borderId="11" xfId="0" applyNumberFormat="1" applyFont="1" applyBorder="1"/>
    <xf numFmtId="167" fontId="2" fillId="4" borderId="13" xfId="0" applyNumberFormat="1" applyFont="1" applyFill="1" applyBorder="1"/>
    <xf numFmtId="10" fontId="3" fillId="2" borderId="1" xfId="2" applyNumberFormat="1" applyFont="1" applyFill="1" applyBorder="1"/>
    <xf numFmtId="10" fontId="0" fillId="0" borderId="0" xfId="2" applyNumberFormat="1" applyFont="1" applyFill="1"/>
    <xf numFmtId="166" fontId="3" fillId="7" borderId="1" xfId="0" applyNumberFormat="1" applyFont="1" applyFill="1" applyBorder="1"/>
    <xf numFmtId="167" fontId="3" fillId="7" borderId="1" xfId="0" applyNumberFormat="1" applyFont="1" applyFill="1" applyBorder="1"/>
    <xf numFmtId="0" fontId="8" fillId="0" borderId="0" xfId="0" quotePrefix="1" applyFont="1"/>
    <xf numFmtId="10" fontId="3" fillId="2" borderId="15" xfId="2" applyNumberFormat="1" applyFont="1" applyFill="1" applyBorder="1"/>
    <xf numFmtId="10" fontId="3" fillId="2" borderId="16" xfId="2" applyNumberFormat="1" applyFont="1" applyFill="1" applyBorder="1"/>
    <xf numFmtId="10" fontId="4" fillId="2" borderId="16" xfId="2" applyNumberFormat="1" applyFont="1" applyFill="1" applyBorder="1"/>
    <xf numFmtId="10" fontId="4" fillId="2" borderId="17" xfId="2" applyNumberFormat="1" applyFont="1" applyFill="1" applyBorder="1"/>
    <xf numFmtId="10" fontId="8" fillId="0" borderId="0" xfId="2" applyNumberFormat="1" applyFont="1" applyFill="1" applyBorder="1"/>
    <xf numFmtId="0" fontId="3" fillId="0" borderId="18" xfId="0" applyFont="1" applyBorder="1"/>
    <xf numFmtId="169" fontId="3" fillId="2" borderId="19" xfId="1" applyNumberFormat="1" applyFont="1" applyFill="1" applyBorder="1"/>
    <xf numFmtId="0" fontId="3" fillId="0" borderId="20" xfId="0" applyFont="1" applyBorder="1"/>
    <xf numFmtId="169" fontId="3" fillId="2" borderId="21" xfId="1" applyNumberFormat="1" applyFont="1" applyFill="1" applyBorder="1"/>
    <xf numFmtId="169" fontId="4" fillId="2" borderId="21" xfId="1" applyNumberFormat="1" applyFont="1" applyFill="1" applyBorder="1"/>
    <xf numFmtId="0" fontId="3" fillId="0" borderId="22" xfId="0" applyFont="1" applyBorder="1"/>
    <xf numFmtId="169" fontId="4" fillId="2" borderId="23" xfId="1" applyNumberFormat="1" applyFont="1" applyFill="1" applyBorder="1"/>
    <xf numFmtId="170" fontId="2" fillId="3" borderId="12" xfId="0" applyNumberFormat="1" applyFont="1" applyFill="1" applyBorder="1"/>
    <xf numFmtId="0" fontId="3" fillId="0" borderId="0" xfId="0" applyFont="1" applyAlignment="1">
      <alignment wrapText="1"/>
    </xf>
    <xf numFmtId="0" fontId="2" fillId="0" borderId="4" xfId="0" applyFont="1" applyBorder="1" applyAlignment="1">
      <alignment horizontal="right" wrapText="1"/>
    </xf>
    <xf numFmtId="171" fontId="0" fillId="0" borderId="0" xfId="0" applyNumberFormat="1"/>
    <xf numFmtId="0" fontId="9" fillId="0" borderId="0" xfId="0" applyFont="1"/>
    <xf numFmtId="166" fontId="0" fillId="0" borderId="0" xfId="0" applyNumberFormat="1"/>
    <xf numFmtId="0" fontId="3" fillId="0" borderId="9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2" fillId="8" borderId="5" xfId="0" applyFont="1" applyFill="1" applyBorder="1"/>
    <xf numFmtId="167" fontId="2" fillId="8" borderId="7" xfId="0" applyNumberFormat="1" applyFont="1" applyFill="1" applyBorder="1"/>
    <xf numFmtId="0" fontId="2" fillId="8" borderId="11" xfId="0" applyFont="1" applyFill="1" applyBorder="1"/>
    <xf numFmtId="172" fontId="2" fillId="8" borderId="13" xfId="0" applyNumberFormat="1" applyFont="1" applyFill="1" applyBorder="1"/>
    <xf numFmtId="173" fontId="3" fillId="2" borderId="1" xfId="2" applyNumberFormat="1" applyFont="1" applyFill="1" applyBorder="1"/>
    <xf numFmtId="0" fontId="2" fillId="8" borderId="3" xfId="0" applyFont="1" applyFill="1" applyBorder="1" applyAlignment="1">
      <alignment horizontal="right" wrapText="1"/>
    </xf>
    <xf numFmtId="0" fontId="2" fillId="8" borderId="0" xfId="0" applyFont="1" applyFill="1" applyAlignment="1">
      <alignment horizontal="right" wrapText="1"/>
    </xf>
    <xf numFmtId="166" fontId="3" fillId="8" borderId="0" xfId="0" applyNumberFormat="1" applyFont="1" applyFill="1"/>
    <xf numFmtId="166" fontId="3" fillId="9" borderId="0" xfId="0" applyNumberFormat="1" applyFont="1" applyFill="1"/>
    <xf numFmtId="166" fontId="3" fillId="8" borderId="12" xfId="0" applyNumberFormat="1" applyFont="1" applyFill="1" applyBorder="1"/>
    <xf numFmtId="167" fontId="2" fillId="10" borderId="1" xfId="0" applyNumberFormat="1" applyFont="1" applyFill="1" applyBorder="1"/>
    <xf numFmtId="166" fontId="3" fillId="8" borderId="1" xfId="0" applyNumberFormat="1" applyFont="1" applyFill="1" applyBorder="1"/>
    <xf numFmtId="164" fontId="2" fillId="10" borderId="1" xfId="0" applyNumberFormat="1" applyFont="1" applyFill="1" applyBorder="1"/>
    <xf numFmtId="165" fontId="2" fillId="5" borderId="12" xfId="0" applyNumberFormat="1" applyFont="1" applyFill="1" applyBorder="1"/>
    <xf numFmtId="174" fontId="2" fillId="3" borderId="13" xfId="0" applyNumberFormat="1" applyFont="1" applyFill="1" applyBorder="1" applyAlignment="1">
      <alignment horizontal="center"/>
    </xf>
    <xf numFmtId="172" fontId="2" fillId="0" borderId="0" xfId="0" applyNumberFormat="1" applyFont="1"/>
    <xf numFmtId="0" fontId="2" fillId="8" borderId="24" xfId="0" applyFont="1" applyFill="1" applyBorder="1"/>
    <xf numFmtId="167" fontId="2" fillId="8" borderId="24" xfId="0" applyNumberFormat="1" applyFont="1" applyFill="1" applyBorder="1"/>
    <xf numFmtId="0" fontId="2" fillId="8" borderId="24" xfId="0" applyFont="1" applyFill="1" applyBorder="1" applyAlignment="1">
      <alignment wrapText="1"/>
    </xf>
    <xf numFmtId="0" fontId="3" fillId="0" borderId="11" xfId="0" applyFont="1" applyBorder="1" applyAlignment="1">
      <alignment wrapText="1"/>
    </xf>
    <xf numFmtId="167" fontId="4" fillId="9" borderId="0" xfId="0" applyNumberFormat="1" applyFont="1" applyFill="1" applyAlignment="1">
      <alignment horizontal="right" wrapText="1"/>
    </xf>
    <xf numFmtId="167" fontId="4" fillId="8" borderId="0" xfId="0" applyNumberFormat="1" applyFont="1" applyFill="1" applyAlignment="1">
      <alignment horizontal="right" wrapText="1"/>
    </xf>
    <xf numFmtId="167" fontId="4" fillId="8" borderId="12" xfId="0" applyNumberFormat="1" applyFont="1" applyFill="1" applyBorder="1" applyAlignment="1">
      <alignment horizontal="right" wrapText="1"/>
    </xf>
    <xf numFmtId="2" fontId="0" fillId="0" borderId="0" xfId="0" applyNumberFormat="1"/>
    <xf numFmtId="173" fontId="2" fillId="8" borderId="24" xfId="2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Forward </a:t>
            </a:r>
            <a:r>
              <a:rPr lang="en-GB" baseline="0"/>
              <a:t>yields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Parameters!$D$14:$D$28</c:f>
              <c:numCache>
                <c:formatCode>0.00%</c:formatCode>
                <c:ptCount val="15"/>
                <c:pt idx="0">
                  <c:v>1.9699999999999999E-2</c:v>
                </c:pt>
                <c:pt idx="1">
                  <c:v>2.2100000000000002E-2</c:v>
                </c:pt>
                <c:pt idx="2">
                  <c:v>2.29E-2</c:v>
                </c:pt>
                <c:pt idx="3">
                  <c:v>2.1999999999999999E-2</c:v>
                </c:pt>
                <c:pt idx="4">
                  <c:v>2.12E-2</c:v>
                </c:pt>
                <c:pt idx="5">
                  <c:v>2.1499999999999998E-2</c:v>
                </c:pt>
                <c:pt idx="6">
                  <c:v>2.24E-2</c:v>
                </c:pt>
                <c:pt idx="7">
                  <c:v>2.3E-2</c:v>
                </c:pt>
                <c:pt idx="8">
                  <c:v>2.35E-2</c:v>
                </c:pt>
                <c:pt idx="9">
                  <c:v>2.4500000000000001E-2</c:v>
                </c:pt>
                <c:pt idx="10">
                  <c:v>2.6599999999999999E-2</c:v>
                </c:pt>
                <c:pt idx="11">
                  <c:v>2.92E-2</c:v>
                </c:pt>
                <c:pt idx="12">
                  <c:v>2.86E-2</c:v>
                </c:pt>
                <c:pt idx="13">
                  <c:v>2.64E-2</c:v>
                </c:pt>
                <c:pt idx="14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F-4E02-B948-C28762EA8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453160"/>
        <c:axId val="562703536"/>
      </c:lineChart>
      <c:catAx>
        <c:axId val="59245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03536"/>
        <c:crosses val="autoZero"/>
        <c:auto val="1"/>
        <c:lblAlgn val="ctr"/>
        <c:lblOffset val="100"/>
        <c:noMultiLvlLbl val="0"/>
      </c:catAx>
      <c:valAx>
        <c:axId val="562703536"/>
        <c:scaling>
          <c:orientation val="minMax"/>
          <c:max val="3.0000000000000006E-2"/>
          <c:min val="1.9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5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Parameters!$C$14:$C$28</c:f>
              <c:numCache>
                <c:formatCode>_-* #,##0_-;\-* #,##0_-;_-* "-"??_-;_-@_-</c:formatCode>
                <c:ptCount val="15"/>
                <c:pt idx="0">
                  <c:v>40000</c:v>
                </c:pt>
                <c:pt idx="1">
                  <c:v>40750</c:v>
                </c:pt>
                <c:pt idx="2">
                  <c:v>41500</c:v>
                </c:pt>
                <c:pt idx="3">
                  <c:v>42100</c:v>
                </c:pt>
                <c:pt idx="4">
                  <c:v>42600</c:v>
                </c:pt>
                <c:pt idx="5">
                  <c:v>43600</c:v>
                </c:pt>
                <c:pt idx="6">
                  <c:v>43900</c:v>
                </c:pt>
                <c:pt idx="7">
                  <c:v>44800</c:v>
                </c:pt>
                <c:pt idx="8">
                  <c:v>45400</c:v>
                </c:pt>
                <c:pt idx="9">
                  <c:v>45700</c:v>
                </c:pt>
                <c:pt idx="10">
                  <c:v>46200</c:v>
                </c:pt>
                <c:pt idx="11">
                  <c:v>46800</c:v>
                </c:pt>
                <c:pt idx="12">
                  <c:v>47200</c:v>
                </c:pt>
                <c:pt idx="13">
                  <c:v>47500</c:v>
                </c:pt>
                <c:pt idx="14">
                  <c:v>47800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2-4EF4-9399-A812187AB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04320"/>
        <c:axId val="562704712"/>
      </c:lineChart>
      <c:catAx>
        <c:axId val="56270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04712"/>
        <c:crosses val="autoZero"/>
        <c:auto val="1"/>
        <c:lblAlgn val="ctr"/>
        <c:lblOffset val="100"/>
        <c:noMultiLvlLbl val="0"/>
      </c:catAx>
      <c:valAx>
        <c:axId val="56270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Assets and Liabilites under Campaign</a:t>
            </a:r>
            <a:r>
              <a:rPr lang="en-IN" b="1" baseline="0"/>
              <a:t> Projection</a:t>
            </a:r>
            <a:r>
              <a:rPr lang="en-IN" b="1"/>
              <a:t> </a:t>
            </a:r>
          </a:p>
        </c:rich>
      </c:tx>
      <c:layout>
        <c:manualLayout>
          <c:xMode val="edge"/>
          <c:yMode val="edge"/>
          <c:x val="0.18683596971508851"/>
          <c:y val="2.7860696517412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'Q1C-Charts'!$C$2</c:f>
              <c:strCache>
                <c:ptCount val="1"/>
                <c:pt idx="0">
                  <c:v>Liability at year end (Rs. 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'Q1C-Charts'!$B$4:$B$18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'Q1C-Charts'!$C$4:$C$18</c:f>
              <c:numCache>
                <c:formatCode>0.00</c:formatCode>
                <c:ptCount val="15"/>
                <c:pt idx="0">
                  <c:v>928.32100000000003</c:v>
                </c:pt>
                <c:pt idx="1">
                  <c:v>907.63660660000005</c:v>
                </c:pt>
                <c:pt idx="2">
                  <c:v>886.44630989114</c:v>
                </c:pt>
                <c:pt idx="3">
                  <c:v>863.38502870874504</c:v>
                </c:pt>
                <c:pt idx="4">
                  <c:v>838.63723131737038</c:v>
                </c:pt>
                <c:pt idx="5">
                  <c:v>812.59923179069381</c:v>
                </c:pt>
                <c:pt idx="6">
                  <c:v>786.40977458280531</c:v>
                </c:pt>
                <c:pt idx="7">
                  <c:v>759.18199939820988</c:v>
                </c:pt>
                <c:pt idx="8">
                  <c:v>731.08932638406782</c:v>
                </c:pt>
                <c:pt idx="9">
                  <c:v>702.74118988047746</c:v>
                </c:pt>
                <c:pt idx="10">
                  <c:v>674.61964553129815</c:v>
                </c:pt>
                <c:pt idx="11">
                  <c:v>646.83525918081205</c:v>
                </c:pt>
                <c:pt idx="12">
                  <c:v>617.45978759338323</c:v>
                </c:pt>
                <c:pt idx="13">
                  <c:v>585.63372598584851</c:v>
                </c:pt>
                <c:pt idx="14">
                  <c:v>552.43880286148067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0-4775-B880-2A88D0E7AD73}"/>
            </c:ext>
          </c:extLst>
        </c:ser>
        <c:ser>
          <c:idx val="1"/>
          <c:order val="1"/>
          <c:tx>
            <c:strRef>
              <c:f>'Q1C-Charts'!$D$2</c:f>
              <c:strCache>
                <c:ptCount val="1"/>
                <c:pt idx="0">
                  <c:v>Assets at end of year (Rs. 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'Q1C-Charts'!$B$4:$B$18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'Q1C-Charts'!$D$4:$D$18</c:f>
              <c:numCache>
                <c:formatCode>0.00</c:formatCode>
                <c:ptCount val="15"/>
                <c:pt idx="0">
                  <c:v>744.67650000000003</c:v>
                </c:pt>
                <c:pt idx="1">
                  <c:v>730.29682565000007</c:v>
                </c:pt>
                <c:pt idx="2">
                  <c:v>715.67199451988506</c:v>
                </c:pt>
                <c:pt idx="3">
                  <c:v>699.74104261807247</c:v>
                </c:pt>
                <c:pt idx="4">
                  <c:v>682.67912579423182</c:v>
                </c:pt>
                <c:pt idx="5">
                  <c:v>664.72373551059968</c:v>
                </c:pt>
                <c:pt idx="6">
                  <c:v>646.94868703100587</c:v>
                </c:pt>
                <c:pt idx="7">
                  <c:v>628.53686323107297</c:v>
                </c:pt>
                <c:pt idx="8">
                  <c:v>609.70122083255978</c:v>
                </c:pt>
                <c:pt idx="9">
                  <c:v>591.02069115625272</c:v>
                </c:pt>
                <c:pt idx="10">
                  <c:v>572.89847822735067</c:v>
                </c:pt>
                <c:pt idx="11">
                  <c:v>555.456265021641</c:v>
                </c:pt>
                <c:pt idx="12">
                  <c:v>537.10856154559008</c:v>
                </c:pt>
                <c:pt idx="13">
                  <c:v>517.12830147683871</c:v>
                </c:pt>
                <c:pt idx="14">
                  <c:v>496.46566212170075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0-4775-B880-2A88D0E7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987264"/>
        <c:axId val="1396986016"/>
      </c:lineChart>
      <c:catAx>
        <c:axId val="139698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86016"/>
        <c:crosses val="autoZero"/>
        <c:auto val="1"/>
        <c:lblAlgn val="ctr"/>
        <c:lblOffset val="100"/>
        <c:noMultiLvlLbl val="0"/>
      </c:catAx>
      <c:valAx>
        <c:axId val="13969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Assets and Liabilities (Rs. 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8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Assets and Liabilities under- New Donation and Additional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'Q1C-Charts'!$C$23</c:f>
              <c:strCache>
                <c:ptCount val="1"/>
                <c:pt idx="0">
                  <c:v>Liability at year end (Rs. 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'Q1C-Charts'!$B$24:$B$39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'Q1C-Charts'!$C$24:$C$39</c:f>
              <c:numCache>
                <c:formatCode>General</c:formatCode>
                <c:ptCount val="16"/>
                <c:pt idx="1">
                  <c:v>928.32100000000003</c:v>
                </c:pt>
                <c:pt idx="2">
                  <c:v>907.63660660000005</c:v>
                </c:pt>
                <c:pt idx="3">
                  <c:v>886.44630989114</c:v>
                </c:pt>
                <c:pt idx="4">
                  <c:v>863.38502870874504</c:v>
                </c:pt>
                <c:pt idx="5">
                  <c:v>838.63723131737038</c:v>
                </c:pt>
                <c:pt idx="6">
                  <c:v>812.59923179069381</c:v>
                </c:pt>
                <c:pt idx="7">
                  <c:v>786.40977458280531</c:v>
                </c:pt>
                <c:pt idx="8">
                  <c:v>759.18199939820988</c:v>
                </c:pt>
                <c:pt idx="9">
                  <c:v>731.08932638406782</c:v>
                </c:pt>
                <c:pt idx="10">
                  <c:v>702.74118988047746</c:v>
                </c:pt>
                <c:pt idx="11">
                  <c:v>674.61964553129815</c:v>
                </c:pt>
                <c:pt idx="12">
                  <c:v>646.83525918081205</c:v>
                </c:pt>
                <c:pt idx="13">
                  <c:v>617.45978759338323</c:v>
                </c:pt>
                <c:pt idx="14">
                  <c:v>585.63372598584851</c:v>
                </c:pt>
                <c:pt idx="15">
                  <c:v>552.43880286148067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B-491B-A007-03F50055267C}"/>
            </c:ext>
          </c:extLst>
        </c:ser>
        <c:ser>
          <c:idx val="2"/>
          <c:order val="1"/>
          <c:tx>
            <c:strRef>
              <c:f>'Q1C-Charts'!$D$23</c:f>
              <c:strCache>
                <c:ptCount val="1"/>
                <c:pt idx="0">
                  <c:v>Donation Target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'Q1C-Charts'!$B$24:$B$39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'Q1C-Charts'!$D$24:$D$39</c:f>
              <c:numCache>
                <c:formatCode>General</c:formatCode>
                <c:ptCount val="16"/>
                <c:pt idx="1">
                  <c:v>747.30452128848572</c:v>
                </c:pt>
                <c:pt idx="2">
                  <c:v>735.67984896661494</c:v>
                </c:pt>
                <c:pt idx="3">
                  <c:v>723.94372855050528</c:v>
                </c:pt>
                <c:pt idx="4">
                  <c:v>711.02806914527673</c:v>
                </c:pt>
                <c:pt idx="5">
                  <c:v>697.10843547075456</c:v>
                </c:pt>
                <c:pt idx="6">
                  <c:v>682.43929014121727</c:v>
                </c:pt>
                <c:pt idx="7">
                  <c:v>668.11284333868537</c:v>
                </c:pt>
                <c:pt idx="8">
                  <c:v>653.31679074487852</c:v>
                </c:pt>
                <c:pt idx="9">
                  <c:v>638.27148983346501</c:v>
                </c:pt>
                <c:pt idx="10">
                  <c:v>623.58077028082755</c:v>
                </c:pt>
                <c:pt idx="11">
                  <c:v>609.70023779329438</c:v>
                </c:pt>
                <c:pt idx="12">
                  <c:v>596.79704678773294</c:v>
                </c:pt>
                <c:pt idx="13">
                  <c:v>583.1816607848674</c:v>
                </c:pt>
                <c:pt idx="14">
                  <c:v>568.05250476626429</c:v>
                </c:pt>
                <c:pt idx="15">
                  <c:v>552.43880286148067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B-491B-A007-03F50055267C}"/>
            </c:ext>
          </c:extLst>
        </c:ser>
        <c:ser>
          <c:idx val="3"/>
          <c:order val="2"/>
          <c:tx>
            <c:strRef>
              <c:f>'Q1C-Charts'!$E$23</c:f>
              <c:strCache>
                <c:ptCount val="1"/>
                <c:pt idx="0">
                  <c:v>Additonal returns</c:v>
                </c:pt>
              </c:strCache>
            </c:strRef>
          </c:tx>
          <c:spPr>
            <a:ln w="28575" cap="rnd" cmpd="sng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'Q1C-Charts'!$B$24:$B$39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'Q1C-Charts'!$E$24:$E$39</c:f>
              <c:numCache>
                <c:formatCode>General</c:formatCode>
                <c:ptCount val="16"/>
                <c:pt idx="1">
                  <c:v>748.196097624564</c:v>
                </c:pt>
                <c:pt idx="2">
                  <c:v>737.35685785070154</c:v>
                </c:pt>
                <c:pt idx="3">
                  <c:v>726.30397888202174</c:v>
                </c:pt>
                <c:pt idx="4">
                  <c:v>713.96419417606319</c:v>
                </c:pt>
                <c:pt idx="5">
                  <c:v>700.50222982777768</c:v>
                </c:pt>
                <c:pt idx="6">
                  <c:v>686.16314938714959</c:v>
                </c:pt>
                <c:pt idx="7">
                  <c:v>672.03367437407769</c:v>
                </c:pt>
                <c:pt idx="8">
                  <c:v>657.29594302120802</c:v>
                </c:pt>
                <c:pt idx="9">
                  <c:v>642.16293606264162</c:v>
                </c:pt>
                <c:pt idx="10">
                  <c:v>627.23303359650504</c:v>
                </c:pt>
                <c:pt idx="11">
                  <c:v>612.95840736922753</c:v>
                </c:pt>
                <c:pt idx="12">
                  <c:v>599.50218363209626</c:v>
                </c:pt>
                <c:pt idx="13">
                  <c:v>585.16669181091959</c:v>
                </c:pt>
                <c:pt idx="14">
                  <c:v>569.1400252749753</c:v>
                </c:pt>
                <c:pt idx="15">
                  <c:v>552.43894039535996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DB-491B-A007-03F50055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284576"/>
        <c:axId val="1489287072"/>
      </c:lineChart>
      <c:catAx>
        <c:axId val="148928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34858895825197789"/>
              <c:y val="0.89538906439090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87072"/>
        <c:crosses val="autoZero"/>
        <c:auto val="1"/>
        <c:lblAlgn val="ctr"/>
        <c:lblOffset val="100"/>
        <c:noMultiLvlLbl val="0"/>
      </c:catAx>
      <c:valAx>
        <c:axId val="14892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Assets and Liabilities (Rs. 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9</xdr:row>
      <xdr:rowOff>114300</xdr:rowOff>
    </xdr:from>
    <xdr:to>
      <xdr:col>20</xdr:col>
      <xdr:colOff>142875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9</xdr:row>
      <xdr:rowOff>142875</xdr:rowOff>
    </xdr:from>
    <xdr:to>
      <xdr:col>12</xdr:col>
      <xdr:colOff>138112</xdr:colOff>
      <xdr:row>26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446086</xdr:colOff>
      <xdr:row>1</xdr:row>
      <xdr:rowOff>201612</xdr:rowOff>
    </xdr:from>
    <xdr:to>
      <xdr:col>18</xdr:col>
      <xdr:colOff>492124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B505F-8714-4F19-AC53-6A90C153F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345280</xdr:colOff>
      <xdr:row>21</xdr:row>
      <xdr:rowOff>33338</xdr:rowOff>
    </xdr:from>
    <xdr:to>
      <xdr:col>18</xdr:col>
      <xdr:colOff>555624</xdr:colOff>
      <xdr:row>39</xdr:row>
      <xdr:rowOff>150813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56B0CE-D71A-4AC7-B4A8-1C79FC065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D32" sqref="D32"/>
    </sheetView>
  </sheetViews>
  <sheetFormatPr defaultRowHeight="13.2" x14ac:dyDescent="0.25"/>
  <cols>
    <col min="1" max="1" width="21" customWidth="1"/>
    <col min="2" max="2" width="11.33203125" bestFit="1" customWidth="1"/>
    <col min="3" max="3" width="13.44140625" customWidth="1"/>
    <col min="4" max="4" width="12.44140625" customWidth="1"/>
    <col min="5" max="5" width="11.6640625" customWidth="1"/>
  </cols>
  <sheetData>
    <row r="1" spans="1:5" x14ac:dyDescent="0.25">
      <c r="A1" s="34" t="s">
        <v>2</v>
      </c>
      <c r="B1" s="2"/>
      <c r="C1" s="2"/>
      <c r="D1" s="2"/>
    </row>
    <row r="2" spans="1:5" x14ac:dyDescent="0.25">
      <c r="A2" s="1"/>
      <c r="B2" s="2"/>
      <c r="C2" s="2"/>
      <c r="D2" s="2"/>
    </row>
    <row r="3" spans="1:5" ht="13.8" thickBot="1" x14ac:dyDescent="0.3">
      <c r="A3" s="41" t="s">
        <v>1</v>
      </c>
      <c r="B3" s="2"/>
      <c r="C3" s="5">
        <v>43831</v>
      </c>
      <c r="D3" s="2"/>
    </row>
    <row r="4" spans="1:5" ht="13.8" thickBot="1" x14ac:dyDescent="0.3">
      <c r="A4" s="2" t="s">
        <v>26</v>
      </c>
      <c r="B4" s="2"/>
      <c r="C4" s="61">
        <v>950</v>
      </c>
      <c r="D4" s="74" t="s">
        <v>15</v>
      </c>
    </row>
    <row r="5" spans="1:5" ht="13.8" thickBot="1" x14ac:dyDescent="0.3">
      <c r="A5" s="2" t="s">
        <v>27</v>
      </c>
      <c r="B5" s="2"/>
      <c r="C5" s="61">
        <v>760</v>
      </c>
      <c r="D5" s="62" t="s">
        <v>16</v>
      </c>
    </row>
    <row r="6" spans="1:5" ht="13.8" thickBot="1" x14ac:dyDescent="0.3">
      <c r="A6" s="2" t="s">
        <v>13</v>
      </c>
      <c r="B6" s="4"/>
      <c r="C6" s="70">
        <v>2.5000000000000001E-2</v>
      </c>
      <c r="D6" s="62" t="s">
        <v>18</v>
      </c>
    </row>
    <row r="7" spans="1:5" x14ac:dyDescent="0.25">
      <c r="A7" s="41"/>
      <c r="B7" s="2"/>
      <c r="C7" s="41" t="s">
        <v>9</v>
      </c>
      <c r="D7" s="60"/>
    </row>
    <row r="8" spans="1:5" ht="13.8" thickBot="1" x14ac:dyDescent="0.3">
      <c r="A8" s="2" t="s">
        <v>21</v>
      </c>
      <c r="B8" s="2"/>
      <c r="C8" s="41">
        <v>15</v>
      </c>
      <c r="D8" s="35"/>
    </row>
    <row r="9" spans="1:5" ht="13.8" thickBot="1" x14ac:dyDescent="0.3">
      <c r="A9" s="2" t="s">
        <v>29</v>
      </c>
      <c r="C9" s="63">
        <v>10</v>
      </c>
      <c r="D9" s="63">
        <v>12.6023877689614</v>
      </c>
      <c r="E9" s="62"/>
    </row>
    <row r="10" spans="1:5" ht="13.8" thickBot="1" x14ac:dyDescent="0.3">
      <c r="C10" s="62" t="s">
        <v>17</v>
      </c>
      <c r="D10" s="91" t="s">
        <v>44</v>
      </c>
    </row>
    <row r="11" spans="1:5" ht="13.8" thickBot="1" x14ac:dyDescent="0.3">
      <c r="A11" s="2" t="s">
        <v>50</v>
      </c>
      <c r="C11" s="99">
        <v>4.7242921135086857E-3</v>
      </c>
      <c r="D11" s="91"/>
    </row>
    <row r="12" spans="1:5" x14ac:dyDescent="0.25">
      <c r="C12" s="62" t="s">
        <v>25</v>
      </c>
      <c r="D12" s="2"/>
    </row>
    <row r="13" spans="1:5" ht="40.200000000000003" thickBot="1" x14ac:dyDescent="0.3">
      <c r="A13" s="2" t="s">
        <v>23</v>
      </c>
      <c r="B13" s="88" t="s">
        <v>24</v>
      </c>
      <c r="C13" s="88" t="s">
        <v>28</v>
      </c>
      <c r="D13" s="88" t="s">
        <v>20</v>
      </c>
      <c r="E13" s="56"/>
    </row>
    <row r="14" spans="1:5" x14ac:dyDescent="0.25">
      <c r="A14">
        <v>2020</v>
      </c>
      <c r="B14" s="80">
        <v>1</v>
      </c>
      <c r="C14" s="81">
        <v>40000</v>
      </c>
      <c r="D14" s="75">
        <v>1.9699999999999999E-2</v>
      </c>
      <c r="E14" s="79" t="s">
        <v>3</v>
      </c>
    </row>
    <row r="15" spans="1:5" x14ac:dyDescent="0.25">
      <c r="A15">
        <f>A14+1</f>
        <v>2021</v>
      </c>
      <c r="B15" s="82">
        <v>2</v>
      </c>
      <c r="C15" s="83">
        <v>40750</v>
      </c>
      <c r="D15" s="76">
        <v>2.2100000000000002E-2</v>
      </c>
      <c r="E15" s="36"/>
    </row>
    <row r="16" spans="1:5" x14ac:dyDescent="0.25">
      <c r="A16">
        <f t="shared" ref="A16:A28" si="0">A15+1</f>
        <v>2022</v>
      </c>
      <c r="B16" s="82">
        <v>3</v>
      </c>
      <c r="C16" s="83">
        <v>41500</v>
      </c>
      <c r="D16" s="76">
        <v>2.29E-2</v>
      </c>
      <c r="E16" s="36"/>
    </row>
    <row r="17" spans="1:6" x14ac:dyDescent="0.25">
      <c r="A17">
        <f t="shared" si="0"/>
        <v>2023</v>
      </c>
      <c r="B17" s="82">
        <v>4</v>
      </c>
      <c r="C17" s="83">
        <v>42100</v>
      </c>
      <c r="D17" s="76">
        <v>2.1999999999999999E-2</v>
      </c>
      <c r="E17" s="36"/>
    </row>
    <row r="18" spans="1:6" x14ac:dyDescent="0.25">
      <c r="A18">
        <f t="shared" si="0"/>
        <v>2024</v>
      </c>
      <c r="B18" s="82">
        <v>5</v>
      </c>
      <c r="C18" s="83">
        <v>42600</v>
      </c>
      <c r="D18" s="76">
        <v>2.12E-2</v>
      </c>
      <c r="E18" s="36"/>
    </row>
    <row r="19" spans="1:6" x14ac:dyDescent="0.25">
      <c r="A19">
        <f t="shared" si="0"/>
        <v>2025</v>
      </c>
      <c r="B19" s="82">
        <v>6</v>
      </c>
      <c r="C19" s="83">
        <v>43600</v>
      </c>
      <c r="D19" s="76">
        <v>2.1499999999999998E-2</v>
      </c>
      <c r="E19" s="36"/>
    </row>
    <row r="20" spans="1:6" x14ac:dyDescent="0.25">
      <c r="A20">
        <f t="shared" si="0"/>
        <v>2026</v>
      </c>
      <c r="B20" s="82">
        <v>7</v>
      </c>
      <c r="C20" s="83">
        <v>43900</v>
      </c>
      <c r="D20" s="76">
        <v>2.24E-2</v>
      </c>
      <c r="E20" s="36"/>
    </row>
    <row r="21" spans="1:6" x14ac:dyDescent="0.25">
      <c r="A21">
        <f t="shared" si="0"/>
        <v>2027</v>
      </c>
      <c r="B21" s="82">
        <v>8</v>
      </c>
      <c r="C21" s="83">
        <v>44800</v>
      </c>
      <c r="D21" s="76">
        <v>2.3E-2</v>
      </c>
      <c r="E21" s="36"/>
    </row>
    <row r="22" spans="1:6" x14ac:dyDescent="0.25">
      <c r="A22">
        <f t="shared" si="0"/>
        <v>2028</v>
      </c>
      <c r="B22" s="82">
        <v>9</v>
      </c>
      <c r="C22" s="83">
        <v>45400</v>
      </c>
      <c r="D22" s="76">
        <v>2.35E-2</v>
      </c>
      <c r="E22" s="36"/>
    </row>
    <row r="23" spans="1:6" x14ac:dyDescent="0.25">
      <c r="A23">
        <f t="shared" si="0"/>
        <v>2029</v>
      </c>
      <c r="B23" s="82">
        <v>10</v>
      </c>
      <c r="C23" s="83">
        <v>45700</v>
      </c>
      <c r="D23" s="76">
        <v>2.4500000000000001E-2</v>
      </c>
      <c r="E23" s="36"/>
    </row>
    <row r="24" spans="1:6" x14ac:dyDescent="0.25">
      <c r="A24">
        <f t="shared" si="0"/>
        <v>2030</v>
      </c>
      <c r="B24" s="82">
        <v>11</v>
      </c>
      <c r="C24" s="83">
        <v>46200</v>
      </c>
      <c r="D24" s="76">
        <v>2.6599999999999999E-2</v>
      </c>
      <c r="E24" s="36"/>
    </row>
    <row r="25" spans="1:6" x14ac:dyDescent="0.25">
      <c r="A25">
        <f t="shared" si="0"/>
        <v>2031</v>
      </c>
      <c r="B25" s="82">
        <v>12</v>
      </c>
      <c r="C25" s="83">
        <v>46800</v>
      </c>
      <c r="D25" s="76">
        <v>2.92E-2</v>
      </c>
      <c r="E25" s="36"/>
    </row>
    <row r="26" spans="1:6" x14ac:dyDescent="0.25">
      <c r="A26">
        <f t="shared" si="0"/>
        <v>2032</v>
      </c>
      <c r="B26" s="82">
        <v>13</v>
      </c>
      <c r="C26" s="84">
        <v>47200</v>
      </c>
      <c r="D26" s="77">
        <v>2.86E-2</v>
      </c>
      <c r="E26" s="36"/>
    </row>
    <row r="27" spans="1:6" x14ac:dyDescent="0.25">
      <c r="A27">
        <f t="shared" si="0"/>
        <v>2033</v>
      </c>
      <c r="B27" s="82">
        <v>14</v>
      </c>
      <c r="C27" s="84">
        <v>47500</v>
      </c>
      <c r="D27" s="77">
        <v>2.64E-2</v>
      </c>
      <c r="E27" s="36"/>
    </row>
    <row r="28" spans="1:6" ht="13.8" thickBot="1" x14ac:dyDescent="0.3">
      <c r="A28">
        <f t="shared" si="0"/>
        <v>2034</v>
      </c>
      <c r="B28" s="85">
        <v>15</v>
      </c>
      <c r="C28" s="86">
        <v>47800</v>
      </c>
      <c r="D28" s="78">
        <v>2.5999999999999999E-2</v>
      </c>
      <c r="E28" s="36"/>
    </row>
    <row r="29" spans="1:6" x14ac:dyDescent="0.25">
      <c r="A29" s="57" t="s">
        <v>8</v>
      </c>
      <c r="F29" t="s">
        <v>10</v>
      </c>
    </row>
    <row r="30" spans="1:6" x14ac:dyDescent="0.25">
      <c r="A30" s="57" t="s">
        <v>7</v>
      </c>
      <c r="B30" s="58" t="str">
        <f>IF(COUNT(C14:C28)=15,"Ok","Check")</f>
        <v>Ok</v>
      </c>
      <c r="C30" s="58" t="str">
        <f>IF(COUNT(D14:D28)=15,"Ok","Check")</f>
        <v>Ok</v>
      </c>
      <c r="F30" t="s">
        <v>11</v>
      </c>
    </row>
    <row r="31" spans="1:6" x14ac:dyDescent="0.25">
      <c r="A31" s="57" t="s">
        <v>4</v>
      </c>
      <c r="B31" s="90">
        <f>MIN(C14:C28)</f>
        <v>40000</v>
      </c>
      <c r="C31" s="59">
        <f>MIN(D14:D28)</f>
        <v>1.9699999999999999E-2</v>
      </c>
      <c r="D31" s="71"/>
      <c r="F31" t="s">
        <v>14</v>
      </c>
    </row>
    <row r="32" spans="1:6" x14ac:dyDescent="0.25">
      <c r="A32" s="57" t="s">
        <v>5</v>
      </c>
      <c r="B32" s="90">
        <f>MAX(C14:C28)</f>
        <v>47800</v>
      </c>
      <c r="C32" s="59">
        <f>MAX(D14:D28)</f>
        <v>2.92E-2</v>
      </c>
      <c r="D32" s="71"/>
    </row>
    <row r="33" spans="1:4" x14ac:dyDescent="0.25">
      <c r="A33" s="57" t="s">
        <v>6</v>
      </c>
      <c r="B33" s="90">
        <f>AVERAGE(C14:C28)</f>
        <v>44390</v>
      </c>
      <c r="C33" s="59">
        <f>AVERAGE(D14:D28)</f>
        <v>2.3973333333333333E-2</v>
      </c>
      <c r="D33" s="71"/>
    </row>
    <row r="35" spans="1:4" x14ac:dyDescent="0.25">
      <c r="A35" s="57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"/>
  <sheetViews>
    <sheetView zoomScale="108" zoomScaleNormal="108" workbookViewId="0">
      <selection activeCell="N5" sqref="N5"/>
    </sheetView>
  </sheetViews>
  <sheetFormatPr defaultRowHeight="13.2" x14ac:dyDescent="0.25"/>
  <cols>
    <col min="2" max="2" width="13.44140625" customWidth="1"/>
    <col min="3" max="3" width="11.33203125" customWidth="1"/>
    <col min="4" max="4" width="10.88671875" customWidth="1"/>
    <col min="5" max="5" width="12.33203125" customWidth="1"/>
    <col min="6" max="6" width="13" customWidth="1"/>
    <col min="7" max="7" width="1.5546875" customWidth="1"/>
    <col min="8" max="8" width="12.88671875" customWidth="1"/>
    <col min="9" max="9" width="10.5546875" customWidth="1"/>
    <col min="10" max="10" width="13.88671875" customWidth="1"/>
    <col min="11" max="11" width="14.44140625" customWidth="1"/>
    <col min="12" max="12" width="13.44140625" customWidth="1"/>
    <col min="13" max="13" width="1.6640625" customWidth="1"/>
    <col min="14" max="14" width="12.109375" customWidth="1"/>
    <col min="15" max="15" width="12.44140625" customWidth="1"/>
  </cols>
  <sheetData>
    <row r="1" spans="1:16" x14ac:dyDescent="0.25">
      <c r="A1" s="34" t="s">
        <v>19</v>
      </c>
      <c r="B1" s="2"/>
      <c r="C1" s="2"/>
      <c r="D1" s="2"/>
      <c r="E1" s="2"/>
      <c r="F1" s="2"/>
      <c r="G1" s="2"/>
      <c r="H1" s="2"/>
      <c r="I1" s="3"/>
      <c r="J1" s="2"/>
      <c r="K1" s="2"/>
      <c r="L1" s="2"/>
    </row>
    <row r="2" spans="1:16" ht="13.8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45.75" customHeight="1" thickBot="1" x14ac:dyDescent="0.3">
      <c r="A3" s="7" t="s">
        <v>0</v>
      </c>
      <c r="B3" s="8" t="s">
        <v>30</v>
      </c>
      <c r="C3" s="8" t="s">
        <v>31</v>
      </c>
      <c r="D3" s="8" t="s">
        <v>22</v>
      </c>
      <c r="E3" s="8" t="s">
        <v>32</v>
      </c>
      <c r="F3" s="8" t="s">
        <v>33</v>
      </c>
      <c r="G3" s="9"/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9"/>
      <c r="N3" s="8" t="s">
        <v>39</v>
      </c>
      <c r="O3" s="89" t="s">
        <v>40</v>
      </c>
      <c r="P3" s="10"/>
    </row>
    <row r="4" spans="1:16" ht="13.8" thickBot="1" x14ac:dyDescent="0.3">
      <c r="A4" s="11"/>
      <c r="B4" s="12"/>
      <c r="C4" s="12"/>
      <c r="D4" s="12"/>
      <c r="E4" s="12"/>
      <c r="F4" s="13"/>
      <c r="G4" s="14"/>
      <c r="H4" s="15"/>
      <c r="I4" s="15"/>
      <c r="J4" s="15"/>
      <c r="K4" s="15"/>
      <c r="L4" s="16"/>
      <c r="M4" s="14"/>
      <c r="N4" s="11"/>
      <c r="O4" s="64"/>
      <c r="P4" s="15"/>
    </row>
    <row r="5" spans="1:16" ht="13.8" thickBot="1" x14ac:dyDescent="0.3">
      <c r="A5" s="17">
        <v>1</v>
      </c>
      <c r="B5" s="73">
        <f>liab</f>
        <v>950</v>
      </c>
      <c r="C5" s="18">
        <f t="shared" ref="C5:C19" si="0">VLOOKUP(A5,outgo,2,FALSE)/1000</f>
        <v>40</v>
      </c>
      <c r="D5" s="19">
        <f t="shared" ref="D5:D19" si="1">VLOOKUP(A5,interest,3,FALSE)</f>
        <v>1.9699999999999999E-2</v>
      </c>
      <c r="E5" s="20">
        <f>(B5-C5/2)*D5</f>
        <v>18.320999999999998</v>
      </c>
      <c r="F5" s="21">
        <f>B5-C5+E5</f>
        <v>928.32100000000003</v>
      </c>
      <c r="G5" s="22"/>
      <c r="H5" s="72">
        <f>asset</f>
        <v>760</v>
      </c>
      <c r="I5" s="18">
        <f>C5</f>
        <v>40</v>
      </c>
      <c r="J5" s="20">
        <f t="shared" ref="J5:J19" si="2">camp_cont*(1+infl)^(A5-1)</f>
        <v>10</v>
      </c>
      <c r="K5" s="20">
        <f>(H5-I5/2+J5/2)*(D5)</f>
        <v>14.676499999999999</v>
      </c>
      <c r="L5" s="23">
        <f>H5-I5+J5+K5</f>
        <v>744.67650000000003</v>
      </c>
      <c r="M5" s="24"/>
      <c r="N5" s="65">
        <f t="shared" ref="N5:N19" si="3">B5-H5</f>
        <v>190</v>
      </c>
      <c r="O5" s="54">
        <f t="shared" ref="O5:O19" si="4">F5-L5</f>
        <v>183.64449999999999</v>
      </c>
      <c r="P5" s="2"/>
    </row>
    <row r="6" spans="1:16" x14ac:dyDescent="0.25">
      <c r="A6" s="17">
        <f>A5+1</f>
        <v>2</v>
      </c>
      <c r="B6" s="26">
        <f>F5</f>
        <v>928.32100000000003</v>
      </c>
      <c r="C6" s="18">
        <f t="shared" si="0"/>
        <v>40.75</v>
      </c>
      <c r="D6" s="19">
        <f t="shared" si="1"/>
        <v>2.2100000000000002E-2</v>
      </c>
      <c r="E6" s="20">
        <f>(B6-C6/2)*D6</f>
        <v>20.065606600000002</v>
      </c>
      <c r="F6" s="21">
        <f>B6-C6+E6</f>
        <v>907.63660660000005</v>
      </c>
      <c r="G6" s="24"/>
      <c r="H6" s="20">
        <f>L5</f>
        <v>744.67650000000003</v>
      </c>
      <c r="I6" s="18">
        <f t="shared" ref="I6:I19" si="5">C6</f>
        <v>40.75</v>
      </c>
      <c r="J6" s="20">
        <f t="shared" si="2"/>
        <v>10.25</v>
      </c>
      <c r="K6" s="20">
        <f t="shared" ref="K6:K19" si="6">(H6-I6/2+J6/2)*(D6)</f>
        <v>16.120325650000002</v>
      </c>
      <c r="L6" s="23">
        <f>H6-I6+J6+K6</f>
        <v>730.29682565000007</v>
      </c>
      <c r="M6" s="24"/>
      <c r="N6" s="65">
        <f t="shared" si="3"/>
        <v>183.64449999999999</v>
      </c>
      <c r="O6" s="54">
        <f t="shared" si="4"/>
        <v>177.33978094999998</v>
      </c>
      <c r="P6" s="2"/>
    </row>
    <row r="7" spans="1:16" x14ac:dyDescent="0.25">
      <c r="A7" s="17">
        <f t="shared" ref="A7:A19" si="7">A6+1</f>
        <v>3</v>
      </c>
      <c r="B7" s="26">
        <f>F6</f>
        <v>907.63660660000005</v>
      </c>
      <c r="C7" s="18">
        <f t="shared" si="0"/>
        <v>41.5</v>
      </c>
      <c r="D7" s="19">
        <f t="shared" si="1"/>
        <v>2.29E-2</v>
      </c>
      <c r="E7" s="20">
        <f>(B7-C7/2)*D7</f>
        <v>20.30970329114</v>
      </c>
      <c r="F7" s="21">
        <f t="shared" ref="F7:F19" si="8">B7-C7+E7</f>
        <v>886.44630989114</v>
      </c>
      <c r="G7" s="24"/>
      <c r="H7" s="20">
        <f>L6</f>
        <v>730.29682565000007</v>
      </c>
      <c r="I7" s="18">
        <f t="shared" si="5"/>
        <v>41.5</v>
      </c>
      <c r="J7" s="20">
        <f t="shared" si="2"/>
        <v>10.50625</v>
      </c>
      <c r="K7" s="20">
        <f t="shared" si="6"/>
        <v>16.368918869885</v>
      </c>
      <c r="L7" s="23">
        <f t="shared" ref="L7:L19" si="9">H7-I7+J7+K7</f>
        <v>715.67199451988506</v>
      </c>
      <c r="M7" s="24"/>
      <c r="N7" s="65">
        <f t="shared" si="3"/>
        <v>177.33978094999998</v>
      </c>
      <c r="O7" s="54">
        <f t="shared" si="4"/>
        <v>170.77431537125494</v>
      </c>
      <c r="P7" s="2"/>
    </row>
    <row r="8" spans="1:16" x14ac:dyDescent="0.25">
      <c r="A8" s="17">
        <f t="shared" si="7"/>
        <v>4</v>
      </c>
      <c r="B8" s="26">
        <f t="shared" ref="B8:B19" si="10">F7</f>
        <v>886.44630989114</v>
      </c>
      <c r="C8" s="18">
        <f t="shared" si="0"/>
        <v>42.1</v>
      </c>
      <c r="D8" s="19">
        <f t="shared" si="1"/>
        <v>2.1999999999999999E-2</v>
      </c>
      <c r="E8" s="20">
        <f t="shared" ref="E8:E19" si="11">(B8-C8/2)*D8</f>
        <v>19.03871881760508</v>
      </c>
      <c r="F8" s="21">
        <f t="shared" si="8"/>
        <v>863.38502870874504</v>
      </c>
      <c r="G8" s="24"/>
      <c r="H8" s="20">
        <f t="shared" ref="H8:H19" si="12">L7</f>
        <v>715.67199451988506</v>
      </c>
      <c r="I8" s="18">
        <f t="shared" si="5"/>
        <v>42.1</v>
      </c>
      <c r="J8" s="20">
        <f t="shared" si="2"/>
        <v>10.768906249999999</v>
      </c>
      <c r="K8" s="20">
        <f t="shared" si="6"/>
        <v>15.400141848187472</v>
      </c>
      <c r="L8" s="23">
        <f t="shared" si="9"/>
        <v>699.74104261807247</v>
      </c>
      <c r="M8" s="24"/>
      <c r="N8" s="65">
        <f t="shared" si="3"/>
        <v>170.77431537125494</v>
      </c>
      <c r="O8" s="54">
        <f t="shared" si="4"/>
        <v>163.64398609067257</v>
      </c>
      <c r="P8" s="2"/>
    </row>
    <row r="9" spans="1:16" x14ac:dyDescent="0.25">
      <c r="A9" s="42">
        <f t="shared" si="7"/>
        <v>5</v>
      </c>
      <c r="B9" s="43">
        <f t="shared" si="10"/>
        <v>863.38502870874504</v>
      </c>
      <c r="C9" s="44">
        <f t="shared" si="0"/>
        <v>42.6</v>
      </c>
      <c r="D9" s="45">
        <f t="shared" si="1"/>
        <v>2.12E-2</v>
      </c>
      <c r="E9" s="46">
        <f t="shared" si="11"/>
        <v>17.852202608625397</v>
      </c>
      <c r="F9" s="47">
        <f t="shared" si="8"/>
        <v>838.63723131737038</v>
      </c>
      <c r="G9" s="48"/>
      <c r="H9" s="46">
        <f t="shared" si="12"/>
        <v>699.74104261807247</v>
      </c>
      <c r="I9" s="49">
        <f t="shared" si="5"/>
        <v>42.6</v>
      </c>
      <c r="J9" s="50">
        <f t="shared" si="2"/>
        <v>11.038128906249998</v>
      </c>
      <c r="K9" s="46">
        <f t="shared" si="6"/>
        <v>14.499954269909388</v>
      </c>
      <c r="L9" s="51">
        <f t="shared" si="9"/>
        <v>682.67912579423182</v>
      </c>
      <c r="M9" s="48"/>
      <c r="N9" s="66">
        <f t="shared" si="3"/>
        <v>163.64398609067257</v>
      </c>
      <c r="O9" s="55">
        <f t="shared" si="4"/>
        <v>155.95810552313856</v>
      </c>
      <c r="P9" s="2"/>
    </row>
    <row r="10" spans="1:16" x14ac:dyDescent="0.25">
      <c r="A10" s="17">
        <f t="shared" si="7"/>
        <v>6</v>
      </c>
      <c r="B10" s="26">
        <f t="shared" si="10"/>
        <v>838.63723131737038</v>
      </c>
      <c r="C10" s="18">
        <f t="shared" si="0"/>
        <v>43.6</v>
      </c>
      <c r="D10" s="19">
        <f t="shared" si="1"/>
        <v>2.1499999999999998E-2</v>
      </c>
      <c r="E10" s="20">
        <f t="shared" si="11"/>
        <v>17.562000473323462</v>
      </c>
      <c r="F10" s="21">
        <f t="shared" si="8"/>
        <v>812.59923179069381</v>
      </c>
      <c r="G10" s="24"/>
      <c r="H10" s="20">
        <f t="shared" si="12"/>
        <v>682.67912579423182</v>
      </c>
      <c r="I10" s="18">
        <f t="shared" si="5"/>
        <v>43.6</v>
      </c>
      <c r="J10" s="20">
        <f t="shared" si="2"/>
        <v>11.314082128906247</v>
      </c>
      <c r="K10" s="20">
        <f t="shared" si="6"/>
        <v>14.330527587461726</v>
      </c>
      <c r="L10" s="23">
        <f t="shared" si="9"/>
        <v>664.72373551059968</v>
      </c>
      <c r="M10" s="24"/>
      <c r="N10" s="65">
        <f t="shared" si="3"/>
        <v>155.95810552313856</v>
      </c>
      <c r="O10" s="54">
        <f t="shared" si="4"/>
        <v>147.87549628009413</v>
      </c>
      <c r="P10" s="2"/>
    </row>
    <row r="11" spans="1:16" x14ac:dyDescent="0.25">
      <c r="A11" s="17">
        <f t="shared" si="7"/>
        <v>7</v>
      </c>
      <c r="B11" s="26">
        <f t="shared" si="10"/>
        <v>812.59923179069381</v>
      </c>
      <c r="C11" s="18">
        <f t="shared" si="0"/>
        <v>43.9</v>
      </c>
      <c r="D11" s="19">
        <f t="shared" si="1"/>
        <v>2.24E-2</v>
      </c>
      <c r="E11" s="20">
        <f t="shared" si="11"/>
        <v>17.710542792111539</v>
      </c>
      <c r="F11" s="21">
        <f t="shared" si="8"/>
        <v>786.40977458280531</v>
      </c>
      <c r="G11" s="24"/>
      <c r="H11" s="20">
        <f t="shared" si="12"/>
        <v>664.72373551059968</v>
      </c>
      <c r="I11" s="18">
        <f t="shared" si="5"/>
        <v>43.9</v>
      </c>
      <c r="J11" s="20">
        <f t="shared" si="2"/>
        <v>11.596934182128901</v>
      </c>
      <c r="K11" s="20">
        <f t="shared" si="6"/>
        <v>14.528017338277277</v>
      </c>
      <c r="L11" s="23">
        <f t="shared" si="9"/>
        <v>646.94868703100587</v>
      </c>
      <c r="M11" s="24"/>
      <c r="N11" s="65">
        <f t="shared" si="3"/>
        <v>147.87549628009413</v>
      </c>
      <c r="O11" s="54">
        <f t="shared" si="4"/>
        <v>139.46108755179944</v>
      </c>
      <c r="P11" s="2"/>
    </row>
    <row r="12" spans="1:16" x14ac:dyDescent="0.25">
      <c r="A12" s="17">
        <f t="shared" si="7"/>
        <v>8</v>
      </c>
      <c r="B12" s="26">
        <f t="shared" si="10"/>
        <v>786.40977458280531</v>
      </c>
      <c r="C12" s="18">
        <f t="shared" si="0"/>
        <v>44.8</v>
      </c>
      <c r="D12" s="19">
        <f t="shared" si="1"/>
        <v>2.3E-2</v>
      </c>
      <c r="E12" s="20">
        <f t="shared" si="11"/>
        <v>17.572224815404521</v>
      </c>
      <c r="F12" s="21">
        <f t="shared" si="8"/>
        <v>759.18199939820988</v>
      </c>
      <c r="G12" s="24"/>
      <c r="H12" s="20">
        <f t="shared" si="12"/>
        <v>646.94868703100587</v>
      </c>
      <c r="I12" s="18">
        <f t="shared" si="5"/>
        <v>44.8</v>
      </c>
      <c r="J12" s="20">
        <f t="shared" si="2"/>
        <v>11.886857536682125</v>
      </c>
      <c r="K12" s="20">
        <f t="shared" si="6"/>
        <v>14.50131866338498</v>
      </c>
      <c r="L12" s="23">
        <f t="shared" si="9"/>
        <v>628.53686323107297</v>
      </c>
      <c r="M12" s="24"/>
      <c r="N12" s="65">
        <f t="shared" si="3"/>
        <v>139.46108755179944</v>
      </c>
      <c r="O12" s="54">
        <f t="shared" si="4"/>
        <v>130.64513616713691</v>
      </c>
      <c r="P12" s="2"/>
    </row>
    <row r="13" spans="1:16" x14ac:dyDescent="0.25">
      <c r="A13" s="17">
        <f t="shared" si="7"/>
        <v>9</v>
      </c>
      <c r="B13" s="26">
        <f t="shared" si="10"/>
        <v>759.18199939820988</v>
      </c>
      <c r="C13" s="18">
        <f t="shared" si="0"/>
        <v>45.4</v>
      </c>
      <c r="D13" s="19">
        <f t="shared" si="1"/>
        <v>2.35E-2</v>
      </c>
      <c r="E13" s="20">
        <f t="shared" si="11"/>
        <v>17.30732698585793</v>
      </c>
      <c r="F13" s="21">
        <f t="shared" si="8"/>
        <v>731.08932638406782</v>
      </c>
      <c r="G13" s="24"/>
      <c r="H13" s="20">
        <f t="shared" si="12"/>
        <v>628.53686323107297</v>
      </c>
      <c r="I13" s="18">
        <f t="shared" si="5"/>
        <v>45.4</v>
      </c>
      <c r="J13" s="20">
        <f t="shared" si="2"/>
        <v>12.184028975099178</v>
      </c>
      <c r="K13" s="20">
        <f t="shared" si="6"/>
        <v>14.380328626387628</v>
      </c>
      <c r="L13" s="23">
        <f t="shared" si="9"/>
        <v>609.70122083255978</v>
      </c>
      <c r="M13" s="24"/>
      <c r="N13" s="65">
        <f t="shared" si="3"/>
        <v>130.64513616713691</v>
      </c>
      <c r="O13" s="54">
        <f t="shared" si="4"/>
        <v>121.38810555150803</v>
      </c>
      <c r="P13" s="2"/>
    </row>
    <row r="14" spans="1:16" x14ac:dyDescent="0.25">
      <c r="A14" s="42">
        <f t="shared" si="7"/>
        <v>10</v>
      </c>
      <c r="B14" s="52">
        <f t="shared" si="10"/>
        <v>731.08932638406782</v>
      </c>
      <c r="C14" s="44">
        <f t="shared" si="0"/>
        <v>45.7</v>
      </c>
      <c r="D14" s="45">
        <f t="shared" si="1"/>
        <v>2.4500000000000001E-2</v>
      </c>
      <c r="E14" s="50">
        <f t="shared" si="11"/>
        <v>17.351863496409663</v>
      </c>
      <c r="F14" s="47">
        <f t="shared" si="8"/>
        <v>702.74118988047746</v>
      </c>
      <c r="G14" s="53"/>
      <c r="H14" s="50">
        <f t="shared" si="12"/>
        <v>609.70122083255978</v>
      </c>
      <c r="I14" s="44">
        <f t="shared" si="5"/>
        <v>45.7</v>
      </c>
      <c r="J14" s="50">
        <f t="shared" si="2"/>
        <v>12.488629699476654</v>
      </c>
      <c r="K14" s="50">
        <f t="shared" si="6"/>
        <v>14.530840624216303</v>
      </c>
      <c r="L14" s="51">
        <f t="shared" si="9"/>
        <v>591.02069115625272</v>
      </c>
      <c r="M14" s="53"/>
      <c r="N14" s="67">
        <f t="shared" si="3"/>
        <v>121.38810555150803</v>
      </c>
      <c r="O14" s="55">
        <f t="shared" si="4"/>
        <v>111.72049872422474</v>
      </c>
      <c r="P14" s="2"/>
    </row>
    <row r="15" spans="1:16" x14ac:dyDescent="0.25">
      <c r="A15" s="17">
        <f t="shared" si="7"/>
        <v>11</v>
      </c>
      <c r="B15" s="26">
        <f t="shared" si="10"/>
        <v>702.74118988047746</v>
      </c>
      <c r="C15" s="18">
        <f t="shared" si="0"/>
        <v>46.2</v>
      </c>
      <c r="D15" s="19">
        <f t="shared" si="1"/>
        <v>2.6599999999999999E-2</v>
      </c>
      <c r="E15" s="20">
        <f t="shared" si="11"/>
        <v>18.0784556508207</v>
      </c>
      <c r="F15" s="21">
        <f t="shared" si="8"/>
        <v>674.61964553129815</v>
      </c>
      <c r="G15" s="24"/>
      <c r="H15" s="20">
        <f t="shared" si="12"/>
        <v>591.02069115625272</v>
      </c>
      <c r="I15" s="18">
        <f t="shared" si="5"/>
        <v>46.2</v>
      </c>
      <c r="J15" s="20">
        <f t="shared" si="2"/>
        <v>12.80084544196357</v>
      </c>
      <c r="K15" s="20">
        <f t="shared" si="6"/>
        <v>15.276941629134436</v>
      </c>
      <c r="L15" s="23">
        <f t="shared" si="9"/>
        <v>572.89847822735067</v>
      </c>
      <c r="M15" s="24"/>
      <c r="N15" s="65">
        <f t="shared" si="3"/>
        <v>111.72049872422474</v>
      </c>
      <c r="O15" s="54">
        <f t="shared" si="4"/>
        <v>101.72116730394748</v>
      </c>
      <c r="P15" s="2"/>
    </row>
    <row r="16" spans="1:16" x14ac:dyDescent="0.25">
      <c r="A16" s="17">
        <f t="shared" si="7"/>
        <v>12</v>
      </c>
      <c r="B16" s="26">
        <f t="shared" si="10"/>
        <v>674.61964553129815</v>
      </c>
      <c r="C16" s="18">
        <f t="shared" si="0"/>
        <v>46.8</v>
      </c>
      <c r="D16" s="19">
        <f t="shared" si="1"/>
        <v>2.92E-2</v>
      </c>
      <c r="E16" s="20">
        <f t="shared" si="11"/>
        <v>19.015613649513906</v>
      </c>
      <c r="F16" s="21">
        <f t="shared" si="8"/>
        <v>646.83525918081205</v>
      </c>
      <c r="G16" s="24"/>
      <c r="H16" s="20">
        <f t="shared" si="12"/>
        <v>572.89847822735067</v>
      </c>
      <c r="I16" s="18">
        <f t="shared" si="5"/>
        <v>46.8</v>
      </c>
      <c r="J16" s="20">
        <f t="shared" si="2"/>
        <v>13.120866578012659</v>
      </c>
      <c r="K16" s="20">
        <f t="shared" si="6"/>
        <v>16.236920216277625</v>
      </c>
      <c r="L16" s="23">
        <f t="shared" si="9"/>
        <v>555.456265021641</v>
      </c>
      <c r="M16" s="24"/>
      <c r="N16" s="65">
        <f t="shared" si="3"/>
        <v>101.72116730394748</v>
      </c>
      <c r="O16" s="54">
        <f t="shared" si="4"/>
        <v>91.378994159171043</v>
      </c>
      <c r="P16" s="2"/>
    </row>
    <row r="17" spans="1:16" x14ac:dyDescent="0.25">
      <c r="A17" s="17">
        <f t="shared" si="7"/>
        <v>13</v>
      </c>
      <c r="B17" s="26">
        <f t="shared" si="10"/>
        <v>646.83525918081205</v>
      </c>
      <c r="C17" s="18">
        <f t="shared" si="0"/>
        <v>47.2</v>
      </c>
      <c r="D17" s="19">
        <f t="shared" si="1"/>
        <v>2.86E-2</v>
      </c>
      <c r="E17" s="20">
        <f t="shared" si="11"/>
        <v>17.824528412571222</v>
      </c>
      <c r="F17" s="21">
        <f t="shared" si="8"/>
        <v>617.45978759338323</v>
      </c>
      <c r="G17" s="24"/>
      <c r="H17" s="20">
        <f t="shared" si="12"/>
        <v>555.456265021641</v>
      </c>
      <c r="I17" s="18">
        <f t="shared" si="5"/>
        <v>47.2</v>
      </c>
      <c r="J17" s="20">
        <f t="shared" si="2"/>
        <v>13.448888242462974</v>
      </c>
      <c r="K17" s="20">
        <f t="shared" si="6"/>
        <v>15.403408281486152</v>
      </c>
      <c r="L17" s="23">
        <f t="shared" si="9"/>
        <v>537.10856154559008</v>
      </c>
      <c r="M17" s="24"/>
      <c r="N17" s="65">
        <f t="shared" si="3"/>
        <v>91.378994159171043</v>
      </c>
      <c r="O17" s="54">
        <f t="shared" si="4"/>
        <v>80.351226047793148</v>
      </c>
      <c r="P17" s="2"/>
    </row>
    <row r="18" spans="1:16" x14ac:dyDescent="0.25">
      <c r="A18" s="17">
        <f t="shared" si="7"/>
        <v>14</v>
      </c>
      <c r="B18" s="26">
        <f t="shared" si="10"/>
        <v>617.45978759338323</v>
      </c>
      <c r="C18" s="18">
        <f t="shared" si="0"/>
        <v>47.5</v>
      </c>
      <c r="D18" s="19">
        <f t="shared" si="1"/>
        <v>2.64E-2</v>
      </c>
      <c r="E18" s="20">
        <f t="shared" si="11"/>
        <v>15.673938392465317</v>
      </c>
      <c r="F18" s="21">
        <f t="shared" si="8"/>
        <v>585.63372598584851</v>
      </c>
      <c r="G18" s="24"/>
      <c r="H18" s="20">
        <f t="shared" si="12"/>
        <v>537.10856154559008</v>
      </c>
      <c r="I18" s="18">
        <f t="shared" si="5"/>
        <v>47.5</v>
      </c>
      <c r="J18" s="20">
        <f t="shared" si="2"/>
        <v>13.785110448524549</v>
      </c>
      <c r="K18" s="20">
        <f t="shared" si="6"/>
        <v>13.734629482724102</v>
      </c>
      <c r="L18" s="23">
        <f t="shared" si="9"/>
        <v>517.12830147683871</v>
      </c>
      <c r="M18" s="24"/>
      <c r="N18" s="65">
        <f t="shared" si="3"/>
        <v>80.351226047793148</v>
      </c>
      <c r="O18" s="54">
        <f t="shared" si="4"/>
        <v>68.505424509009799</v>
      </c>
      <c r="P18" s="2"/>
    </row>
    <row r="19" spans="1:16" ht="13.8" thickBot="1" x14ac:dyDescent="0.3">
      <c r="A19" s="27">
        <f t="shared" si="7"/>
        <v>15</v>
      </c>
      <c r="B19" s="28">
        <f t="shared" si="10"/>
        <v>585.63372598584851</v>
      </c>
      <c r="C19" s="29">
        <f t="shared" si="0"/>
        <v>47.8</v>
      </c>
      <c r="D19" s="30">
        <f t="shared" si="1"/>
        <v>2.5999999999999999E-2</v>
      </c>
      <c r="E19" s="31">
        <f t="shared" si="11"/>
        <v>14.605076875632061</v>
      </c>
      <c r="F19" s="32">
        <f t="shared" si="8"/>
        <v>552.43880286148067</v>
      </c>
      <c r="G19" s="33"/>
      <c r="H19" s="31">
        <f t="shared" si="12"/>
        <v>517.12830147683871</v>
      </c>
      <c r="I19" s="29">
        <f t="shared" si="5"/>
        <v>47.8</v>
      </c>
      <c r="J19" s="31">
        <f t="shared" si="2"/>
        <v>14.129738209737662</v>
      </c>
      <c r="K19" s="31">
        <f t="shared" si="6"/>
        <v>13.007622435124397</v>
      </c>
      <c r="L19" s="87">
        <f t="shared" si="9"/>
        <v>496.46566212170075</v>
      </c>
      <c r="M19" s="33"/>
      <c r="N19" s="68">
        <f t="shared" si="3"/>
        <v>68.505424509009799</v>
      </c>
      <c r="O19" s="69">
        <f t="shared" si="4"/>
        <v>55.973140739779922</v>
      </c>
      <c r="P19" s="62"/>
    </row>
    <row r="20" spans="1:16" x14ac:dyDescent="0.25">
      <c r="F20" s="6"/>
      <c r="G20" s="2"/>
      <c r="H20" s="2"/>
      <c r="I20" s="2"/>
      <c r="J20" s="2"/>
      <c r="K20" s="2"/>
      <c r="L20" s="2"/>
      <c r="M20" s="2"/>
      <c r="N20" s="25"/>
      <c r="O20" s="2"/>
      <c r="P20" s="2"/>
    </row>
    <row r="21" spans="1:16" x14ac:dyDescent="0.25">
      <c r="F21" s="6"/>
      <c r="G21" s="2"/>
      <c r="H21" s="2"/>
      <c r="I21" s="2"/>
      <c r="J21" s="2"/>
      <c r="K21" s="2"/>
      <c r="L21" s="2"/>
      <c r="M21" s="2"/>
      <c r="N21" s="25"/>
      <c r="O21" s="2"/>
      <c r="P21" s="2"/>
    </row>
    <row r="22" spans="1:16" x14ac:dyDescent="0.25">
      <c r="F22" s="6"/>
      <c r="G22" s="2"/>
      <c r="H22" s="2"/>
      <c r="I22" s="2"/>
      <c r="J22" s="2"/>
      <c r="K22" s="2"/>
      <c r="L22" s="2"/>
      <c r="M22" s="2"/>
      <c r="N22" s="25"/>
      <c r="O22" s="2"/>
      <c r="P22" s="2"/>
    </row>
    <row r="23" spans="1:16" x14ac:dyDescent="0.25">
      <c r="F23" s="6"/>
      <c r="G23" s="2"/>
      <c r="H23" s="2"/>
      <c r="I23" s="2"/>
      <c r="J23" s="2"/>
      <c r="K23" s="2"/>
      <c r="L23" s="2"/>
      <c r="M23" s="2"/>
      <c r="N23" s="25"/>
      <c r="O23" s="2"/>
      <c r="P23" s="2"/>
    </row>
    <row r="24" spans="1:16" x14ac:dyDescent="0.25">
      <c r="F24" s="6"/>
      <c r="G24" s="2"/>
      <c r="H24" s="2"/>
      <c r="I24" s="2"/>
      <c r="J24" s="2"/>
      <c r="K24" s="2"/>
      <c r="L24" s="2"/>
      <c r="M24" s="2"/>
      <c r="N24" s="25"/>
      <c r="O24" s="2"/>
      <c r="P24" s="2"/>
    </row>
    <row r="25" spans="1:16" x14ac:dyDescent="0.25">
      <c r="F25" s="6"/>
      <c r="G25" s="2"/>
      <c r="H25" s="2"/>
      <c r="I25" s="2"/>
      <c r="J25" s="2"/>
      <c r="K25" s="2"/>
      <c r="L25" s="2"/>
      <c r="M25" s="2"/>
      <c r="N25" s="2"/>
      <c r="O25" s="37"/>
      <c r="P25" s="2"/>
    </row>
    <row r="26" spans="1:16" x14ac:dyDescent="0.25">
      <c r="F26" s="6"/>
      <c r="G26" s="2"/>
      <c r="H26" s="2"/>
      <c r="I26" s="2"/>
      <c r="J26" s="2"/>
      <c r="K26" s="2"/>
      <c r="L26" s="2"/>
      <c r="M26" s="2"/>
      <c r="N26" s="2"/>
      <c r="O26" s="39"/>
      <c r="P26" s="2"/>
    </row>
    <row r="27" spans="1:16" x14ac:dyDescent="0.25">
      <c r="F27" s="6"/>
      <c r="G27" s="2"/>
      <c r="H27" s="2"/>
      <c r="I27" s="2"/>
      <c r="J27" s="2"/>
      <c r="K27" s="2"/>
      <c r="L27" s="2"/>
      <c r="M27" s="2"/>
      <c r="N27" s="2"/>
      <c r="O27" s="39"/>
      <c r="P27" s="2"/>
    </row>
    <row r="28" spans="1:16" x14ac:dyDescent="0.25">
      <c r="F28" s="6"/>
      <c r="G28" s="2"/>
      <c r="H28" s="2"/>
      <c r="I28" s="2"/>
      <c r="J28" s="2"/>
      <c r="K28" s="2"/>
      <c r="L28" s="2"/>
      <c r="M28" s="2"/>
      <c r="N28" s="2"/>
      <c r="O28" s="39"/>
      <c r="P28" s="2"/>
    </row>
    <row r="29" spans="1:16" x14ac:dyDescent="0.25">
      <c r="F29" s="6"/>
      <c r="G29" s="2"/>
      <c r="H29" s="2"/>
      <c r="I29" s="2"/>
      <c r="J29" s="2"/>
      <c r="K29" s="2"/>
      <c r="L29" s="2"/>
      <c r="M29" s="2"/>
      <c r="N29" s="2"/>
      <c r="O29" s="39"/>
      <c r="P29" s="2"/>
    </row>
    <row r="30" spans="1:16" x14ac:dyDescent="0.25">
      <c r="F30" s="6"/>
      <c r="G30" s="2"/>
      <c r="H30" s="2"/>
      <c r="I30" s="2"/>
      <c r="J30" s="2"/>
      <c r="K30" s="2"/>
      <c r="L30" s="2"/>
      <c r="M30" s="2"/>
      <c r="N30" s="38"/>
      <c r="O30" s="39"/>
      <c r="P30" s="2"/>
    </row>
    <row r="31" spans="1:16" x14ac:dyDescent="0.25">
      <c r="F31" s="2"/>
      <c r="G31" s="2"/>
      <c r="H31" s="2"/>
      <c r="I31" s="2"/>
      <c r="J31" s="2"/>
      <c r="K31" s="2"/>
      <c r="L31" s="2"/>
      <c r="M31" s="2"/>
      <c r="N31" s="38"/>
      <c r="O31" s="39"/>
      <c r="P31" s="2"/>
    </row>
    <row r="32" spans="1:16" x14ac:dyDescent="0.25">
      <c r="A32" s="2"/>
      <c r="B32" s="35"/>
      <c r="C32" s="40"/>
      <c r="D32" s="36"/>
      <c r="E32" s="2"/>
      <c r="F32" s="2"/>
      <c r="G32" s="2"/>
      <c r="H32" s="2"/>
      <c r="I32" s="2"/>
      <c r="J32" s="2"/>
      <c r="K32" s="2"/>
      <c r="L32" s="2"/>
      <c r="M32" s="2"/>
      <c r="N32" s="38"/>
      <c r="O32" s="39"/>
      <c r="P32" s="2"/>
    </row>
    <row r="33" spans="1:16" x14ac:dyDescent="0.25">
      <c r="A33" s="2"/>
      <c r="B33" s="35"/>
      <c r="C33" s="40"/>
      <c r="D33" s="36"/>
      <c r="E33" s="2"/>
      <c r="F33" s="2"/>
      <c r="G33" s="2"/>
      <c r="H33" s="2"/>
      <c r="I33" s="2"/>
      <c r="J33" s="2"/>
      <c r="K33" s="2"/>
      <c r="L33" s="2"/>
      <c r="M33" s="2"/>
      <c r="N33" s="38"/>
      <c r="O33" s="39"/>
      <c r="P33" s="2"/>
    </row>
    <row r="34" spans="1:16" x14ac:dyDescent="0.25">
      <c r="A34" s="2"/>
      <c r="B34" s="35"/>
      <c r="C34" s="40"/>
      <c r="D34" s="36"/>
      <c r="E34" s="2"/>
      <c r="F34" s="2"/>
      <c r="G34" s="2"/>
      <c r="H34" s="2"/>
      <c r="I34" s="2"/>
      <c r="J34" s="2"/>
      <c r="K34" s="2"/>
      <c r="L34" s="2"/>
      <c r="M34" s="2"/>
      <c r="N34" s="38"/>
      <c r="O34" s="39"/>
      <c r="P34" s="2"/>
    </row>
    <row r="35" spans="1:16" x14ac:dyDescent="0.25">
      <c r="A35" s="2"/>
      <c r="B35" s="35"/>
      <c r="C35" s="40"/>
      <c r="D35" s="36"/>
      <c r="E35" s="2"/>
      <c r="F35" s="2"/>
      <c r="G35" s="2"/>
      <c r="H35" s="2"/>
      <c r="I35" s="2"/>
      <c r="J35" s="2"/>
      <c r="K35" s="2"/>
      <c r="L35" s="2"/>
      <c r="M35" s="2"/>
      <c r="N35" s="38"/>
      <c r="O35" s="39"/>
      <c r="P35" s="2"/>
    </row>
    <row r="36" spans="1:16" x14ac:dyDescent="0.25">
      <c r="A36" s="2"/>
      <c r="B36" s="35"/>
      <c r="C36" s="40"/>
      <c r="D36" s="36"/>
      <c r="E36" s="2"/>
      <c r="F36" s="2"/>
      <c r="G36" s="2"/>
      <c r="H36" s="2"/>
      <c r="I36" s="2"/>
      <c r="J36" s="2"/>
      <c r="K36" s="2"/>
      <c r="L36" s="2"/>
      <c r="M36" s="2"/>
      <c r="N36" s="38"/>
      <c r="O36" s="39"/>
      <c r="P36" s="2"/>
    </row>
    <row r="37" spans="1:16" x14ac:dyDescent="0.25">
      <c r="A37" s="2"/>
      <c r="B37" s="35"/>
      <c r="C37" s="40"/>
      <c r="D37" s="36"/>
      <c r="E37" s="2"/>
      <c r="F37" s="2"/>
      <c r="G37" s="2"/>
      <c r="H37" s="2"/>
      <c r="I37" s="2"/>
      <c r="J37" s="2"/>
      <c r="K37" s="2"/>
      <c r="L37" s="2"/>
      <c r="M37" s="2"/>
      <c r="N37" s="6"/>
      <c r="O37" s="36"/>
      <c r="P37" s="2"/>
    </row>
    <row r="38" spans="1:16" x14ac:dyDescent="0.25">
      <c r="A38" s="2"/>
      <c r="B38" s="35"/>
      <c r="C38" s="40"/>
      <c r="D38" s="36"/>
      <c r="E38" s="2"/>
      <c r="F38" s="2"/>
      <c r="G38" s="2"/>
      <c r="H38" s="2"/>
      <c r="I38" s="35"/>
      <c r="J38" s="2"/>
      <c r="K38" s="2"/>
      <c r="L38" s="36"/>
      <c r="M38" s="6"/>
      <c r="N38" s="6"/>
      <c r="O38" s="36"/>
      <c r="P38" s="2"/>
    </row>
    <row r="39" spans="1:16" x14ac:dyDescent="0.25">
      <c r="A39" s="2"/>
      <c r="B39" s="35"/>
      <c r="C39" s="40"/>
      <c r="D39" s="36"/>
      <c r="E39" s="2"/>
      <c r="F39" s="2"/>
      <c r="G39" s="2"/>
      <c r="H39" s="2"/>
      <c r="I39" s="35"/>
      <c r="J39" s="2"/>
      <c r="K39" s="2"/>
      <c r="L39" s="36"/>
      <c r="M39" s="6"/>
      <c r="N39" s="6"/>
      <c r="O39" s="36"/>
      <c r="P39" s="2"/>
    </row>
    <row r="40" spans="1:16" x14ac:dyDescent="0.25">
      <c r="A40" s="2"/>
      <c r="B40" s="35"/>
      <c r="C40" s="40"/>
      <c r="D40" s="36"/>
      <c r="E40" s="2"/>
      <c r="F40" s="2"/>
      <c r="G40" s="2"/>
      <c r="H40" s="2"/>
      <c r="I40" s="35"/>
      <c r="J40" s="2"/>
      <c r="K40" s="2"/>
      <c r="L40" s="36"/>
      <c r="M40" s="6"/>
      <c r="N40" s="6"/>
      <c r="O40" s="36"/>
      <c r="P40" s="2"/>
    </row>
    <row r="41" spans="1:16" x14ac:dyDescent="0.25">
      <c r="A41" s="2"/>
      <c r="B41" s="35"/>
      <c r="C41" s="40"/>
      <c r="D41" s="36"/>
      <c r="E41" s="2"/>
      <c r="F41" s="2"/>
      <c r="G41" s="2"/>
      <c r="H41" s="2"/>
      <c r="I41" s="35"/>
      <c r="J41" s="2"/>
      <c r="K41" s="2"/>
      <c r="L41" s="36"/>
      <c r="M41" s="6"/>
      <c r="N41" s="6"/>
      <c r="O41" s="36"/>
      <c r="P41" s="2"/>
    </row>
    <row r="42" spans="1:16" x14ac:dyDescent="0.25">
      <c r="A42" s="2"/>
      <c r="B42" s="35"/>
      <c r="C42" s="40"/>
      <c r="D42" s="36"/>
      <c r="E42" s="2"/>
      <c r="F42" s="2"/>
      <c r="G42" s="2"/>
      <c r="H42" s="2"/>
      <c r="I42" s="35"/>
      <c r="J42" s="2"/>
      <c r="K42" s="2"/>
      <c r="L42" s="36"/>
      <c r="M42" s="6"/>
      <c r="N42" s="6"/>
      <c r="O42" s="36"/>
      <c r="P42" s="2"/>
    </row>
    <row r="43" spans="1:16" x14ac:dyDescent="0.25">
      <c r="A43" s="2"/>
      <c r="B43" s="35"/>
      <c r="C43" s="40"/>
      <c r="D43" s="36"/>
      <c r="E43" s="2"/>
      <c r="F43" s="2"/>
      <c r="G43" s="2"/>
      <c r="H43" s="2"/>
      <c r="I43" s="35"/>
      <c r="J43" s="2"/>
      <c r="K43" s="2"/>
      <c r="L43" s="36"/>
      <c r="M43" s="6"/>
      <c r="N43" s="6"/>
      <c r="O43" s="36"/>
      <c r="P4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A03E-67DC-4F60-8728-78F9DD965CF8}">
  <dimension ref="B1:R44"/>
  <sheetViews>
    <sheetView showGridLines="0" zoomScale="108" zoomScaleNormal="108" workbookViewId="0"/>
  </sheetViews>
  <sheetFormatPr defaultRowHeight="13.2" x14ac:dyDescent="0.25"/>
  <cols>
    <col min="1" max="1" width="3.77734375" customWidth="1"/>
    <col min="3" max="3" width="13.44140625" customWidth="1"/>
    <col min="4" max="4" width="11.33203125" customWidth="1"/>
    <col min="5" max="5" width="10.88671875" customWidth="1"/>
    <col min="6" max="6" width="12.33203125" customWidth="1"/>
    <col min="7" max="7" width="13" customWidth="1"/>
    <col min="8" max="8" width="1.5546875" customWidth="1"/>
    <col min="9" max="9" width="12.88671875" customWidth="1"/>
    <col min="10" max="10" width="10.5546875" customWidth="1"/>
    <col min="11" max="11" width="13.88671875" customWidth="1"/>
    <col min="12" max="12" width="14.44140625" customWidth="1"/>
    <col min="13" max="13" width="13.44140625" customWidth="1"/>
    <col min="14" max="14" width="1.6640625" customWidth="1"/>
    <col min="15" max="15" width="12.109375" customWidth="1"/>
    <col min="16" max="16" width="12.44140625" customWidth="1"/>
    <col min="17" max="17" width="16.5546875" customWidth="1"/>
  </cols>
  <sheetData>
    <row r="1" spans="2:17" x14ac:dyDescent="0.25">
      <c r="B1" s="34" t="s">
        <v>51</v>
      </c>
      <c r="C1" s="2"/>
      <c r="D1" s="2"/>
      <c r="E1" s="2"/>
      <c r="F1" s="2"/>
      <c r="G1" s="2"/>
      <c r="H1" s="2"/>
      <c r="I1" s="2"/>
      <c r="J1" s="3"/>
      <c r="K1" s="2"/>
      <c r="L1" s="2"/>
      <c r="M1" s="2"/>
    </row>
    <row r="2" spans="2:17" ht="13.8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45.75" customHeight="1" thickBot="1" x14ac:dyDescent="0.3">
      <c r="B3" s="7" t="s">
        <v>0</v>
      </c>
      <c r="C3" s="8" t="s">
        <v>30</v>
      </c>
      <c r="D3" s="8" t="s">
        <v>31</v>
      </c>
      <c r="E3" s="8" t="s">
        <v>22</v>
      </c>
      <c r="F3" s="8" t="s">
        <v>32</v>
      </c>
      <c r="G3" s="8" t="s">
        <v>33</v>
      </c>
      <c r="H3" s="9"/>
      <c r="I3" s="8" t="s">
        <v>34</v>
      </c>
      <c r="J3" s="8" t="s">
        <v>35</v>
      </c>
      <c r="K3" s="8" t="s">
        <v>36</v>
      </c>
      <c r="L3" s="8" t="s">
        <v>37</v>
      </c>
      <c r="M3" s="8" t="s">
        <v>38</v>
      </c>
      <c r="N3" s="9"/>
      <c r="O3" s="8" t="s">
        <v>39</v>
      </c>
      <c r="P3" s="89" t="s">
        <v>40</v>
      </c>
      <c r="Q3" s="10"/>
    </row>
    <row r="4" spans="2:17" ht="13.8" thickBot="1" x14ac:dyDescent="0.3">
      <c r="B4" s="11"/>
      <c r="C4" s="12"/>
      <c r="D4" s="12"/>
      <c r="E4" s="12"/>
      <c r="F4" s="12"/>
      <c r="G4" s="13"/>
      <c r="H4" s="14"/>
      <c r="I4" s="15"/>
      <c r="J4" s="15"/>
      <c r="K4" s="15"/>
      <c r="L4" s="15"/>
      <c r="M4" s="16"/>
      <c r="N4" s="14"/>
      <c r="O4" s="11"/>
      <c r="P4" s="64"/>
      <c r="Q4" s="15"/>
    </row>
    <row r="5" spans="2:17" ht="13.8" thickBot="1" x14ac:dyDescent="0.3">
      <c r="B5" s="17">
        <v>1</v>
      </c>
      <c r="C5" s="73">
        <f>liab</f>
        <v>950</v>
      </c>
      <c r="D5" s="18">
        <f t="shared" ref="D5:D19" si="0">VLOOKUP(B5,outgo,2,FALSE)/1000</f>
        <v>40</v>
      </c>
      <c r="E5" s="19">
        <f t="shared" ref="E5:E19" si="1">VLOOKUP(B5,interest,3,FALSE)</f>
        <v>1.9699999999999999E-2</v>
      </c>
      <c r="F5" s="20">
        <f>(C5-D5/2)*E5</f>
        <v>18.320999999999998</v>
      </c>
      <c r="G5" s="21">
        <f>C5-D5+F5</f>
        <v>928.32100000000003</v>
      </c>
      <c r="H5" s="22"/>
      <c r="I5" s="72">
        <f>asset</f>
        <v>760</v>
      </c>
      <c r="J5" s="18">
        <f>D5</f>
        <v>40</v>
      </c>
      <c r="K5" s="105">
        <f t="shared" ref="K5:K19" si="2">new_donation*(1+infl)^(B5-1)</f>
        <v>12.6023877689614</v>
      </c>
      <c r="L5" s="20">
        <f>(I5-J5/2+K5/2)*(E5)</f>
        <v>14.702133519524269</v>
      </c>
      <c r="M5" s="23">
        <f>I5-J5+K5+L5</f>
        <v>747.30452128848572</v>
      </c>
      <c r="N5" s="24"/>
      <c r="O5" s="65">
        <f t="shared" ref="O5:O19" si="3">C5-I5</f>
        <v>190</v>
      </c>
      <c r="P5" s="54">
        <f t="shared" ref="P5:P19" si="4">G5-M5</f>
        <v>181.01647871151431</v>
      </c>
      <c r="Q5" s="2"/>
    </row>
    <row r="6" spans="2:17" x14ac:dyDescent="0.25">
      <c r="B6" s="17">
        <f>B5+1</f>
        <v>2</v>
      </c>
      <c r="C6" s="26">
        <f>G5</f>
        <v>928.32100000000003</v>
      </c>
      <c r="D6" s="18">
        <f t="shared" si="0"/>
        <v>40.75</v>
      </c>
      <c r="E6" s="19">
        <f t="shared" si="1"/>
        <v>2.2100000000000002E-2</v>
      </c>
      <c r="F6" s="20">
        <f>(C6-D6/2)*E6</f>
        <v>20.065606600000002</v>
      </c>
      <c r="G6" s="21">
        <f>C6-D6+F6</f>
        <v>907.63660660000005</v>
      </c>
      <c r="H6" s="24"/>
      <c r="I6" s="20">
        <f>M5</f>
        <v>747.30452128848572</v>
      </c>
      <c r="J6" s="18">
        <f t="shared" ref="J6:J19" si="5">D6</f>
        <v>40.75</v>
      </c>
      <c r="K6" s="102">
        <f t="shared" si="2"/>
        <v>12.917447463185434</v>
      </c>
      <c r="L6" s="20">
        <f t="shared" ref="L6:L19" si="6">(I6-J6/2+K6/2)*(E6)</f>
        <v>16.207880214943735</v>
      </c>
      <c r="M6" s="23">
        <f t="shared" ref="M6:M19" si="7">I6-J6+K6+L6</f>
        <v>735.67984896661494</v>
      </c>
      <c r="N6" s="24"/>
      <c r="O6" s="65">
        <f t="shared" si="3"/>
        <v>181.01647871151431</v>
      </c>
      <c r="P6" s="54">
        <f t="shared" si="4"/>
        <v>171.95675763338511</v>
      </c>
      <c r="Q6" s="2"/>
    </row>
    <row r="7" spans="2:17" x14ac:dyDescent="0.25">
      <c r="B7" s="17">
        <f t="shared" ref="B7:B19" si="8">B6+1</f>
        <v>3</v>
      </c>
      <c r="C7" s="26">
        <f>G6</f>
        <v>907.63660660000005</v>
      </c>
      <c r="D7" s="18">
        <f t="shared" si="0"/>
        <v>41.5</v>
      </c>
      <c r="E7" s="19">
        <f t="shared" si="1"/>
        <v>2.29E-2</v>
      </c>
      <c r="F7" s="20">
        <f>(C7-D7/2)*E7</f>
        <v>20.30970329114</v>
      </c>
      <c r="G7" s="21">
        <f t="shared" ref="G7:G19" si="9">C7-D7+F7</f>
        <v>886.44630989114</v>
      </c>
      <c r="H7" s="24"/>
      <c r="I7" s="20">
        <f>M6</f>
        <v>735.67984896661494</v>
      </c>
      <c r="J7" s="18">
        <f t="shared" si="5"/>
        <v>41.5</v>
      </c>
      <c r="K7" s="102">
        <f t="shared" si="2"/>
        <v>13.24038364976507</v>
      </c>
      <c r="L7" s="20">
        <f t="shared" si="6"/>
        <v>16.523495934125293</v>
      </c>
      <c r="M7" s="23">
        <f t="shared" si="7"/>
        <v>723.94372855050528</v>
      </c>
      <c r="N7" s="24"/>
      <c r="O7" s="65">
        <f t="shared" si="3"/>
        <v>171.95675763338511</v>
      </c>
      <c r="P7" s="54">
        <f t="shared" si="4"/>
        <v>162.50258134063472</v>
      </c>
      <c r="Q7" s="2"/>
    </row>
    <row r="8" spans="2:17" x14ac:dyDescent="0.25">
      <c r="B8" s="17">
        <f t="shared" si="8"/>
        <v>4</v>
      </c>
      <c r="C8" s="26">
        <f t="shared" ref="C8:C19" si="10">G7</f>
        <v>886.44630989114</v>
      </c>
      <c r="D8" s="18">
        <f t="shared" si="0"/>
        <v>42.1</v>
      </c>
      <c r="E8" s="19">
        <f t="shared" si="1"/>
        <v>2.1999999999999999E-2</v>
      </c>
      <c r="F8" s="20">
        <f t="shared" ref="F8:F19" si="11">(C8-D8/2)*E8</f>
        <v>19.03871881760508</v>
      </c>
      <c r="G8" s="21">
        <f t="shared" si="9"/>
        <v>863.38502870874504</v>
      </c>
      <c r="H8" s="24"/>
      <c r="I8" s="20">
        <f t="shared" ref="I8:I19" si="12">M7</f>
        <v>723.94372855050528</v>
      </c>
      <c r="J8" s="18">
        <f t="shared" si="5"/>
        <v>42.1</v>
      </c>
      <c r="K8" s="102">
        <f t="shared" si="2"/>
        <v>13.571393241009195</v>
      </c>
      <c r="L8" s="20">
        <f t="shared" si="6"/>
        <v>15.612947353762218</v>
      </c>
      <c r="M8" s="23">
        <f t="shared" si="7"/>
        <v>711.02806914527673</v>
      </c>
      <c r="N8" s="24"/>
      <c r="O8" s="65">
        <f t="shared" si="3"/>
        <v>162.50258134063472</v>
      </c>
      <c r="P8" s="54">
        <f t="shared" si="4"/>
        <v>152.35695956346831</v>
      </c>
      <c r="Q8" s="2"/>
    </row>
    <row r="9" spans="2:17" x14ac:dyDescent="0.25">
      <c r="B9" s="42">
        <f t="shared" si="8"/>
        <v>5</v>
      </c>
      <c r="C9" s="43">
        <f t="shared" si="10"/>
        <v>863.38502870874504</v>
      </c>
      <c r="D9" s="44">
        <f t="shared" si="0"/>
        <v>42.6</v>
      </c>
      <c r="E9" s="45">
        <f t="shared" si="1"/>
        <v>2.12E-2</v>
      </c>
      <c r="F9" s="46">
        <f t="shared" si="11"/>
        <v>17.852202608625397</v>
      </c>
      <c r="G9" s="47">
        <f t="shared" si="9"/>
        <v>838.63723131737038</v>
      </c>
      <c r="H9" s="48"/>
      <c r="I9" s="46">
        <f t="shared" si="12"/>
        <v>711.02806914527673</v>
      </c>
      <c r="J9" s="49">
        <f t="shared" si="5"/>
        <v>42.6</v>
      </c>
      <c r="K9" s="115">
        <f t="shared" si="2"/>
        <v>13.910678072034424</v>
      </c>
      <c r="L9" s="46">
        <f t="shared" si="6"/>
        <v>14.769688253443432</v>
      </c>
      <c r="M9" s="51">
        <f t="shared" si="7"/>
        <v>697.10843547075456</v>
      </c>
      <c r="N9" s="48"/>
      <c r="O9" s="66">
        <f t="shared" si="3"/>
        <v>152.35695956346831</v>
      </c>
      <c r="P9" s="55">
        <f t="shared" si="4"/>
        <v>141.52879584661582</v>
      </c>
      <c r="Q9" s="2"/>
    </row>
    <row r="10" spans="2:17" x14ac:dyDescent="0.25">
      <c r="B10" s="17">
        <f t="shared" si="8"/>
        <v>6</v>
      </c>
      <c r="C10" s="26">
        <f t="shared" si="10"/>
        <v>838.63723131737038</v>
      </c>
      <c r="D10" s="18">
        <f t="shared" si="0"/>
        <v>43.6</v>
      </c>
      <c r="E10" s="19">
        <f t="shared" si="1"/>
        <v>2.1499999999999998E-2</v>
      </c>
      <c r="F10" s="20">
        <f t="shared" si="11"/>
        <v>17.562000473323462</v>
      </c>
      <c r="G10" s="21">
        <f t="shared" si="9"/>
        <v>812.59923179069381</v>
      </c>
      <c r="H10" s="24"/>
      <c r="I10" s="20">
        <f t="shared" si="12"/>
        <v>697.10843547075456</v>
      </c>
      <c r="J10" s="18">
        <f t="shared" si="5"/>
        <v>43.6</v>
      </c>
      <c r="K10" s="102">
        <f t="shared" si="2"/>
        <v>14.258445023835284</v>
      </c>
      <c r="L10" s="20">
        <f t="shared" si="6"/>
        <v>14.672409646627452</v>
      </c>
      <c r="M10" s="23">
        <f t="shared" si="7"/>
        <v>682.43929014121727</v>
      </c>
      <c r="N10" s="24"/>
      <c r="O10" s="65">
        <f t="shared" si="3"/>
        <v>141.52879584661582</v>
      </c>
      <c r="P10" s="54">
        <f t="shared" si="4"/>
        <v>130.15994164947654</v>
      </c>
      <c r="Q10" s="2"/>
    </row>
    <row r="11" spans="2:17" x14ac:dyDescent="0.25">
      <c r="B11" s="17">
        <f t="shared" si="8"/>
        <v>7</v>
      </c>
      <c r="C11" s="26">
        <f t="shared" si="10"/>
        <v>812.59923179069381</v>
      </c>
      <c r="D11" s="18">
        <f t="shared" si="0"/>
        <v>43.9</v>
      </c>
      <c r="E11" s="19">
        <f t="shared" si="1"/>
        <v>2.24E-2</v>
      </c>
      <c r="F11" s="20">
        <f t="shared" si="11"/>
        <v>17.710542792111539</v>
      </c>
      <c r="G11" s="21">
        <f t="shared" si="9"/>
        <v>786.40977458280531</v>
      </c>
      <c r="H11" s="24"/>
      <c r="I11" s="20">
        <f t="shared" si="12"/>
        <v>682.43929014121727</v>
      </c>
      <c r="J11" s="18">
        <f t="shared" si="5"/>
        <v>43.9</v>
      </c>
      <c r="K11" s="102">
        <f t="shared" si="2"/>
        <v>14.614906149431164</v>
      </c>
      <c r="L11" s="20">
        <f t="shared" si="6"/>
        <v>14.958647048036894</v>
      </c>
      <c r="M11" s="23">
        <f t="shared" si="7"/>
        <v>668.11284333868537</v>
      </c>
      <c r="N11" s="24"/>
      <c r="O11" s="65">
        <f t="shared" si="3"/>
        <v>130.15994164947654</v>
      </c>
      <c r="P11" s="54">
        <f t="shared" si="4"/>
        <v>118.29693124411995</v>
      </c>
      <c r="Q11" s="2"/>
    </row>
    <row r="12" spans="2:17" x14ac:dyDescent="0.25">
      <c r="B12" s="17">
        <f t="shared" si="8"/>
        <v>8</v>
      </c>
      <c r="C12" s="26">
        <f t="shared" si="10"/>
        <v>786.40977458280531</v>
      </c>
      <c r="D12" s="18">
        <f t="shared" si="0"/>
        <v>44.8</v>
      </c>
      <c r="E12" s="19">
        <f t="shared" si="1"/>
        <v>2.3E-2</v>
      </c>
      <c r="F12" s="20">
        <f t="shared" si="11"/>
        <v>17.572224815404521</v>
      </c>
      <c r="G12" s="21">
        <f t="shared" si="9"/>
        <v>759.18199939820988</v>
      </c>
      <c r="H12" s="24"/>
      <c r="I12" s="20">
        <f t="shared" si="12"/>
        <v>668.11284333868537</v>
      </c>
      <c r="J12" s="18">
        <f t="shared" si="5"/>
        <v>44.8</v>
      </c>
      <c r="K12" s="102">
        <f t="shared" si="2"/>
        <v>14.980278803166945</v>
      </c>
      <c r="L12" s="20">
        <f t="shared" si="6"/>
        <v>15.023668603026184</v>
      </c>
      <c r="M12" s="23">
        <f t="shared" si="7"/>
        <v>653.31679074487852</v>
      </c>
      <c r="N12" s="24"/>
      <c r="O12" s="65">
        <f t="shared" si="3"/>
        <v>118.29693124411995</v>
      </c>
      <c r="P12" s="54">
        <f t="shared" si="4"/>
        <v>105.86520865333136</v>
      </c>
      <c r="Q12" s="2"/>
    </row>
    <row r="13" spans="2:17" x14ac:dyDescent="0.25">
      <c r="B13" s="17">
        <f t="shared" si="8"/>
        <v>9</v>
      </c>
      <c r="C13" s="26">
        <f t="shared" si="10"/>
        <v>759.18199939820988</v>
      </c>
      <c r="D13" s="18">
        <f t="shared" si="0"/>
        <v>45.4</v>
      </c>
      <c r="E13" s="19">
        <f t="shared" si="1"/>
        <v>2.35E-2</v>
      </c>
      <c r="F13" s="20">
        <f t="shared" si="11"/>
        <v>17.30732698585793</v>
      </c>
      <c r="G13" s="21">
        <f t="shared" si="9"/>
        <v>731.08932638406782</v>
      </c>
      <c r="H13" s="24"/>
      <c r="I13" s="20">
        <f t="shared" si="12"/>
        <v>653.31679074487852</v>
      </c>
      <c r="J13" s="18">
        <f t="shared" si="5"/>
        <v>45.4</v>
      </c>
      <c r="K13" s="102">
        <f t="shared" si="2"/>
        <v>15.354785773246117</v>
      </c>
      <c r="L13" s="20">
        <f t="shared" si="6"/>
        <v>14.999913315340285</v>
      </c>
      <c r="M13" s="23">
        <f t="shared" si="7"/>
        <v>638.27148983346501</v>
      </c>
      <c r="N13" s="24"/>
      <c r="O13" s="65">
        <f t="shared" si="3"/>
        <v>105.86520865333136</v>
      </c>
      <c r="P13" s="54">
        <f t="shared" si="4"/>
        <v>92.817836550602806</v>
      </c>
      <c r="Q13" s="2"/>
    </row>
    <row r="14" spans="2:17" x14ac:dyDescent="0.25">
      <c r="B14" s="42">
        <f t="shared" si="8"/>
        <v>10</v>
      </c>
      <c r="C14" s="52">
        <f t="shared" si="10"/>
        <v>731.08932638406782</v>
      </c>
      <c r="D14" s="44">
        <f t="shared" si="0"/>
        <v>45.7</v>
      </c>
      <c r="E14" s="45">
        <f t="shared" si="1"/>
        <v>2.4500000000000001E-2</v>
      </c>
      <c r="F14" s="50">
        <f t="shared" si="11"/>
        <v>17.351863496409663</v>
      </c>
      <c r="G14" s="47">
        <f t="shared" si="9"/>
        <v>702.74118988047746</v>
      </c>
      <c r="H14" s="53"/>
      <c r="I14" s="50">
        <f t="shared" si="12"/>
        <v>638.27148983346501</v>
      </c>
      <c r="J14" s="44">
        <f t="shared" si="5"/>
        <v>45.7</v>
      </c>
      <c r="K14" s="116">
        <f t="shared" si="2"/>
        <v>15.738655417577267</v>
      </c>
      <c r="L14" s="50">
        <f t="shared" si="6"/>
        <v>15.270625029785215</v>
      </c>
      <c r="M14" s="51">
        <f t="shared" si="7"/>
        <v>623.58077028082755</v>
      </c>
      <c r="N14" s="53"/>
      <c r="O14" s="67">
        <f t="shared" si="3"/>
        <v>92.817836550602806</v>
      </c>
      <c r="P14" s="55">
        <f t="shared" si="4"/>
        <v>79.160419599649913</v>
      </c>
      <c r="Q14" s="2"/>
    </row>
    <row r="15" spans="2:17" x14ac:dyDescent="0.25">
      <c r="B15" s="17">
        <f t="shared" si="8"/>
        <v>11</v>
      </c>
      <c r="C15" s="26">
        <f t="shared" si="10"/>
        <v>702.74118988047746</v>
      </c>
      <c r="D15" s="18">
        <f t="shared" si="0"/>
        <v>46.2</v>
      </c>
      <c r="E15" s="19">
        <f t="shared" si="1"/>
        <v>2.6599999999999999E-2</v>
      </c>
      <c r="F15" s="20">
        <f t="shared" si="11"/>
        <v>18.0784556508207</v>
      </c>
      <c r="G15" s="21">
        <f t="shared" si="9"/>
        <v>674.61964553129815</v>
      </c>
      <c r="H15" s="24"/>
      <c r="I15" s="20">
        <f t="shared" si="12"/>
        <v>623.58077028082755</v>
      </c>
      <c r="J15" s="18">
        <f t="shared" si="5"/>
        <v>46.2</v>
      </c>
      <c r="K15" s="102">
        <f t="shared" si="2"/>
        <v>16.132121803016698</v>
      </c>
      <c r="L15" s="20">
        <f t="shared" si="6"/>
        <v>16.187345709450131</v>
      </c>
      <c r="M15" s="23">
        <f t="shared" si="7"/>
        <v>609.70023779329438</v>
      </c>
      <c r="N15" s="24"/>
      <c r="O15" s="65">
        <f t="shared" si="3"/>
        <v>79.160419599649913</v>
      </c>
      <c r="P15" s="54">
        <f t="shared" si="4"/>
        <v>64.91940773800377</v>
      </c>
      <c r="Q15" s="2"/>
    </row>
    <row r="16" spans="2:17" x14ac:dyDescent="0.25">
      <c r="B16" s="17">
        <f t="shared" si="8"/>
        <v>12</v>
      </c>
      <c r="C16" s="26">
        <f t="shared" si="10"/>
        <v>674.61964553129815</v>
      </c>
      <c r="D16" s="18">
        <f t="shared" si="0"/>
        <v>46.8</v>
      </c>
      <c r="E16" s="19">
        <f t="shared" si="1"/>
        <v>2.92E-2</v>
      </c>
      <c r="F16" s="20">
        <f t="shared" si="11"/>
        <v>19.015613649513906</v>
      </c>
      <c r="G16" s="21">
        <f t="shared" si="9"/>
        <v>646.83525918081205</v>
      </c>
      <c r="H16" s="24"/>
      <c r="I16" s="20">
        <f t="shared" si="12"/>
        <v>609.70023779329438</v>
      </c>
      <c r="J16" s="18">
        <f t="shared" si="5"/>
        <v>46.8</v>
      </c>
      <c r="K16" s="102">
        <f t="shared" si="2"/>
        <v>16.535424848092116</v>
      </c>
      <c r="L16" s="20">
        <f t="shared" si="6"/>
        <v>17.361384146346342</v>
      </c>
      <c r="M16" s="23">
        <f t="shared" si="7"/>
        <v>596.79704678773294</v>
      </c>
      <c r="N16" s="24"/>
      <c r="O16" s="65">
        <f t="shared" si="3"/>
        <v>64.91940773800377</v>
      </c>
      <c r="P16" s="54">
        <f t="shared" si="4"/>
        <v>50.038212393079107</v>
      </c>
      <c r="Q16" s="2"/>
    </row>
    <row r="17" spans="2:18" x14ac:dyDescent="0.25">
      <c r="B17" s="17">
        <f t="shared" si="8"/>
        <v>13</v>
      </c>
      <c r="C17" s="26">
        <f t="shared" si="10"/>
        <v>646.83525918081205</v>
      </c>
      <c r="D17" s="18">
        <f t="shared" si="0"/>
        <v>47.2</v>
      </c>
      <c r="E17" s="19">
        <f t="shared" si="1"/>
        <v>2.86E-2</v>
      </c>
      <c r="F17" s="20">
        <f t="shared" si="11"/>
        <v>17.824528412571222</v>
      </c>
      <c r="G17" s="21">
        <f t="shared" si="9"/>
        <v>617.45978759338323</v>
      </c>
      <c r="H17" s="24"/>
      <c r="I17" s="20">
        <f t="shared" si="12"/>
        <v>596.79704678773294</v>
      </c>
      <c r="J17" s="18">
        <f t="shared" si="5"/>
        <v>47.2</v>
      </c>
      <c r="K17" s="102">
        <f t="shared" si="2"/>
        <v>16.948810469294418</v>
      </c>
      <c r="L17" s="20">
        <f t="shared" si="6"/>
        <v>16.635803527840071</v>
      </c>
      <c r="M17" s="23">
        <f t="shared" si="7"/>
        <v>583.1816607848674</v>
      </c>
      <c r="N17" s="24"/>
      <c r="O17" s="65">
        <f t="shared" si="3"/>
        <v>50.038212393079107</v>
      </c>
      <c r="P17" s="54">
        <f t="shared" si="4"/>
        <v>34.278126808515822</v>
      </c>
      <c r="Q17" s="2"/>
    </row>
    <row r="18" spans="2:18" ht="13.8" thickBot="1" x14ac:dyDescent="0.3">
      <c r="B18" s="17">
        <f t="shared" si="8"/>
        <v>14</v>
      </c>
      <c r="C18" s="26">
        <f t="shared" si="10"/>
        <v>617.45978759338323</v>
      </c>
      <c r="D18" s="18">
        <f t="shared" si="0"/>
        <v>47.5</v>
      </c>
      <c r="E18" s="19">
        <f t="shared" si="1"/>
        <v>2.64E-2</v>
      </c>
      <c r="F18" s="20">
        <f t="shared" si="11"/>
        <v>15.673938392465317</v>
      </c>
      <c r="G18" s="21">
        <f t="shared" si="9"/>
        <v>585.63372598584851</v>
      </c>
      <c r="H18" s="24"/>
      <c r="I18" s="20">
        <f t="shared" si="12"/>
        <v>583.1816607848674</v>
      </c>
      <c r="J18" s="18">
        <f t="shared" si="5"/>
        <v>47.5</v>
      </c>
      <c r="K18" s="102">
        <f t="shared" si="2"/>
        <v>17.372530731026778</v>
      </c>
      <c r="L18" s="20">
        <f t="shared" si="6"/>
        <v>14.998313250370051</v>
      </c>
      <c r="M18" s="23">
        <f t="shared" si="7"/>
        <v>568.05250476626429</v>
      </c>
      <c r="N18" s="24"/>
      <c r="O18" s="65">
        <f t="shared" si="3"/>
        <v>34.278126808515822</v>
      </c>
      <c r="P18" s="54">
        <f t="shared" si="4"/>
        <v>17.581221219584222</v>
      </c>
      <c r="Q18" s="2"/>
    </row>
    <row r="19" spans="2:18" ht="13.8" thickBot="1" x14ac:dyDescent="0.3">
      <c r="B19" s="27">
        <f t="shared" si="8"/>
        <v>15</v>
      </c>
      <c r="C19" s="28">
        <f t="shared" si="10"/>
        <v>585.63372598584851</v>
      </c>
      <c r="D19" s="29">
        <f t="shared" si="0"/>
        <v>47.8</v>
      </c>
      <c r="E19" s="30">
        <f t="shared" si="1"/>
        <v>2.5999999999999999E-2</v>
      </c>
      <c r="F19" s="31">
        <f t="shared" si="11"/>
        <v>14.605076875632061</v>
      </c>
      <c r="G19" s="32">
        <f t="shared" si="9"/>
        <v>552.43880286148067</v>
      </c>
      <c r="H19" s="33"/>
      <c r="I19" s="31">
        <f t="shared" si="12"/>
        <v>568.05250476626429</v>
      </c>
      <c r="J19" s="29">
        <f t="shared" si="5"/>
        <v>47.8</v>
      </c>
      <c r="K19" s="117">
        <f t="shared" si="2"/>
        <v>17.806843999302444</v>
      </c>
      <c r="L19" s="31">
        <f t="shared" si="6"/>
        <v>14.379454095913802</v>
      </c>
      <c r="M19" s="87">
        <f t="shared" si="7"/>
        <v>552.43880286148067</v>
      </c>
      <c r="N19" s="33"/>
      <c r="O19" s="68">
        <f t="shared" si="3"/>
        <v>17.581221219584222</v>
      </c>
      <c r="P19" s="105">
        <f t="shared" si="4"/>
        <v>0</v>
      </c>
      <c r="Q19" t="str">
        <f>IF(P19=0,"Goal seek-OK","ERROR")</f>
        <v>Goal seek-OK</v>
      </c>
    </row>
    <row r="20" spans="2:18" x14ac:dyDescent="0.25">
      <c r="G20" s="6"/>
      <c r="H20" s="2"/>
      <c r="I20" s="2"/>
      <c r="J20" s="2"/>
      <c r="K20" s="2"/>
      <c r="L20" s="2"/>
      <c r="M20" s="2"/>
      <c r="N20" s="2"/>
      <c r="O20" s="25"/>
      <c r="P20" s="2"/>
      <c r="Q20" s="95" t="s">
        <v>46</v>
      </c>
      <c r="R20" s="96">
        <f>P19</f>
        <v>0</v>
      </c>
    </row>
    <row r="21" spans="2:18" ht="13.8" thickBot="1" x14ac:dyDescent="0.3">
      <c r="G21" s="6"/>
      <c r="H21" s="2"/>
      <c r="I21" s="2"/>
      <c r="J21" s="2"/>
      <c r="K21" s="2"/>
      <c r="L21" s="2"/>
      <c r="M21" s="2"/>
      <c r="N21" s="2"/>
      <c r="O21" s="25"/>
      <c r="P21" s="2"/>
      <c r="Q21" s="97" t="s">
        <v>45</v>
      </c>
      <c r="R21" s="98">
        <f>K5</f>
        <v>12.6023877689614</v>
      </c>
    </row>
    <row r="22" spans="2:18" ht="13.8" thickBot="1" x14ac:dyDescent="0.3">
      <c r="G22" s="6"/>
      <c r="H22" s="2"/>
      <c r="I22" s="2"/>
      <c r="J22" s="2"/>
      <c r="K22" s="2"/>
      <c r="L22" s="2"/>
      <c r="M22" s="2"/>
      <c r="N22" s="2"/>
      <c r="O22" s="25"/>
      <c r="P22" s="2"/>
      <c r="Q22" s="1"/>
      <c r="R22" s="110"/>
    </row>
    <row r="23" spans="2:18" x14ac:dyDescent="0.25">
      <c r="G23" s="6"/>
      <c r="H23" s="2"/>
      <c r="I23" s="2"/>
      <c r="J23" s="2"/>
      <c r="K23" s="2"/>
      <c r="L23" s="2"/>
      <c r="M23" s="2"/>
      <c r="N23" s="2"/>
      <c r="O23" s="25"/>
      <c r="P23" s="120" t="s">
        <v>41</v>
      </c>
      <c r="Q23" s="121"/>
    </row>
    <row r="24" spans="2:18" x14ac:dyDescent="0.25">
      <c r="G24" s="6"/>
      <c r="H24" s="2"/>
      <c r="I24" s="2"/>
      <c r="J24" s="2"/>
      <c r="K24" s="2"/>
      <c r="L24" s="2"/>
      <c r="M24" s="2"/>
      <c r="N24" s="2"/>
      <c r="O24" s="25"/>
      <c r="P24" s="22" t="s">
        <v>42</v>
      </c>
      <c r="Q24" s="93" t="s">
        <v>43</v>
      </c>
    </row>
    <row r="25" spans="2:18" x14ac:dyDescent="0.25">
      <c r="G25" s="6"/>
      <c r="H25" s="2"/>
      <c r="I25" s="2"/>
      <c r="J25" s="2"/>
      <c r="K25" s="2"/>
      <c r="L25" s="2"/>
      <c r="M25" s="2"/>
      <c r="N25" s="2"/>
      <c r="O25" s="25"/>
      <c r="P25" s="22" t="s">
        <v>47</v>
      </c>
      <c r="Q25" s="93">
        <v>0</v>
      </c>
    </row>
    <row r="26" spans="2:18" ht="27" thickBot="1" x14ac:dyDescent="0.3">
      <c r="G26" s="6"/>
      <c r="H26" s="2"/>
      <c r="I26" s="2"/>
      <c r="J26" s="2"/>
      <c r="K26" s="2"/>
      <c r="L26" s="2"/>
      <c r="M26" s="2"/>
      <c r="N26" s="2"/>
      <c r="O26" s="2"/>
      <c r="P26" s="114" t="s">
        <v>48</v>
      </c>
      <c r="Q26" s="94" t="s">
        <v>49</v>
      </c>
    </row>
    <row r="27" spans="2:18" x14ac:dyDescent="0.25">
      <c r="G27" s="6"/>
      <c r="H27" s="2"/>
      <c r="I27" s="2"/>
      <c r="J27" s="2"/>
      <c r="K27" s="2"/>
      <c r="L27" s="2"/>
      <c r="M27" s="2"/>
      <c r="N27" s="2"/>
      <c r="O27" s="2"/>
      <c r="P27" s="39"/>
      <c r="Q27" s="2"/>
    </row>
    <row r="28" spans="2:18" x14ac:dyDescent="0.25">
      <c r="G28" s="6"/>
      <c r="H28" s="2"/>
      <c r="I28" s="2"/>
      <c r="J28" s="2"/>
      <c r="K28" s="2"/>
      <c r="L28" s="2"/>
      <c r="M28" s="2"/>
      <c r="N28" s="2"/>
      <c r="O28" s="2"/>
      <c r="P28" s="39"/>
      <c r="Q28" s="2"/>
    </row>
    <row r="29" spans="2:18" x14ac:dyDescent="0.25">
      <c r="G29" s="6"/>
      <c r="H29" s="2"/>
      <c r="I29" s="2"/>
      <c r="J29" s="2"/>
      <c r="K29" s="2"/>
      <c r="L29" s="2"/>
      <c r="M29" s="2"/>
      <c r="N29" s="2"/>
      <c r="O29" s="2"/>
      <c r="P29" s="39"/>
      <c r="Q29" s="2"/>
    </row>
    <row r="30" spans="2:18" x14ac:dyDescent="0.25">
      <c r="G30" s="6"/>
      <c r="H30" s="2"/>
      <c r="I30" s="2"/>
      <c r="J30" s="2"/>
      <c r="K30" s="2"/>
      <c r="L30" s="2"/>
      <c r="M30" s="2"/>
      <c r="N30" s="2"/>
      <c r="O30" s="2"/>
      <c r="P30" s="39"/>
      <c r="Q30" s="2"/>
    </row>
    <row r="31" spans="2:18" x14ac:dyDescent="0.25">
      <c r="G31" s="6"/>
      <c r="H31" s="2"/>
      <c r="I31" s="2"/>
      <c r="J31" s="2"/>
      <c r="K31" s="2"/>
      <c r="L31" s="2"/>
      <c r="M31" s="2"/>
      <c r="N31" s="2"/>
      <c r="O31" s="38"/>
      <c r="P31" s="39"/>
      <c r="Q31" s="2"/>
    </row>
    <row r="32" spans="2:18" x14ac:dyDescent="0.25">
      <c r="G32" s="2"/>
      <c r="H32" s="2"/>
      <c r="I32" s="2"/>
      <c r="J32" s="2"/>
      <c r="K32" s="2"/>
      <c r="L32" s="2"/>
      <c r="M32" s="2"/>
      <c r="N32" s="2"/>
      <c r="O32" s="38"/>
      <c r="P32" s="39"/>
      <c r="Q32" s="2"/>
    </row>
    <row r="33" spans="2:17" x14ac:dyDescent="0.25">
      <c r="B33" s="2"/>
      <c r="C33" s="35"/>
      <c r="D33" s="40"/>
      <c r="E33" s="36"/>
      <c r="F33" s="2"/>
      <c r="G33" s="2"/>
      <c r="H33" s="2"/>
      <c r="I33" s="2"/>
      <c r="J33" s="2"/>
      <c r="K33" s="2"/>
      <c r="L33" s="2"/>
      <c r="M33" s="2"/>
      <c r="N33" s="2"/>
      <c r="O33" s="38"/>
      <c r="P33" s="39"/>
      <c r="Q33" s="2"/>
    </row>
    <row r="34" spans="2:17" x14ac:dyDescent="0.25">
      <c r="B34" s="2"/>
      <c r="C34" s="35"/>
      <c r="D34" s="40"/>
      <c r="E34" s="36"/>
      <c r="F34" s="2"/>
      <c r="G34" s="2"/>
      <c r="H34" s="2"/>
      <c r="I34" s="2"/>
      <c r="J34" s="2"/>
      <c r="K34" s="2"/>
      <c r="L34" s="2"/>
      <c r="M34" s="2"/>
      <c r="N34" s="2"/>
      <c r="O34" s="38"/>
      <c r="P34" s="39"/>
      <c r="Q34" s="2"/>
    </row>
    <row r="35" spans="2:17" x14ac:dyDescent="0.25">
      <c r="B35" s="2"/>
      <c r="C35" s="35"/>
      <c r="D35" s="40"/>
      <c r="E35" s="36"/>
      <c r="F35" s="2"/>
      <c r="G35" s="2"/>
      <c r="H35" s="2"/>
      <c r="I35" s="2"/>
      <c r="J35" s="2"/>
      <c r="K35" s="2"/>
      <c r="L35" s="2"/>
      <c r="M35" s="2"/>
      <c r="N35" s="2"/>
      <c r="O35" s="38"/>
      <c r="P35" s="39"/>
      <c r="Q35" s="2"/>
    </row>
    <row r="36" spans="2:17" x14ac:dyDescent="0.25">
      <c r="B36" s="2"/>
      <c r="C36" s="35"/>
      <c r="D36" s="40"/>
      <c r="E36" s="36"/>
      <c r="F36" s="2"/>
      <c r="G36" s="2"/>
      <c r="H36" s="2"/>
      <c r="I36" s="2"/>
      <c r="J36" s="2"/>
      <c r="K36" s="2"/>
      <c r="L36" s="2"/>
      <c r="M36" s="2"/>
      <c r="N36" s="2"/>
      <c r="O36" s="38"/>
      <c r="P36" s="39"/>
      <c r="Q36" s="2"/>
    </row>
    <row r="37" spans="2:17" x14ac:dyDescent="0.25">
      <c r="B37" s="2"/>
      <c r="C37" s="35"/>
      <c r="D37" s="40"/>
      <c r="E37" s="36"/>
      <c r="F37" s="2"/>
      <c r="G37" s="2"/>
      <c r="H37" s="2"/>
      <c r="I37" s="2"/>
      <c r="J37" s="2"/>
      <c r="K37" s="2"/>
      <c r="L37" s="2"/>
      <c r="M37" s="2"/>
      <c r="N37" s="2"/>
      <c r="O37" s="38"/>
      <c r="P37" s="39"/>
      <c r="Q37" s="2"/>
    </row>
    <row r="38" spans="2:17" x14ac:dyDescent="0.25">
      <c r="B38" s="2"/>
      <c r="C38" s="35"/>
      <c r="D38" s="40"/>
      <c r="E38" s="36"/>
      <c r="F38" s="2"/>
      <c r="G38" s="2"/>
      <c r="H38" s="2"/>
      <c r="I38" s="2"/>
      <c r="J38" s="2"/>
      <c r="K38" s="2"/>
      <c r="L38" s="2"/>
      <c r="M38" s="2"/>
      <c r="N38" s="2"/>
      <c r="O38" s="6"/>
      <c r="P38" s="36"/>
      <c r="Q38" s="2"/>
    </row>
    <row r="39" spans="2:17" x14ac:dyDescent="0.25">
      <c r="B39" s="2"/>
      <c r="C39" s="35"/>
      <c r="D39" s="40"/>
      <c r="E39" s="36"/>
      <c r="F39" s="2"/>
      <c r="G39" s="2"/>
      <c r="H39" s="2"/>
      <c r="I39" s="2"/>
      <c r="J39" s="35"/>
      <c r="K39" s="2"/>
      <c r="L39" s="2"/>
      <c r="M39" s="36"/>
      <c r="N39" s="6"/>
      <c r="O39" s="6"/>
      <c r="P39" s="36"/>
      <c r="Q39" s="2"/>
    </row>
    <row r="40" spans="2:17" x14ac:dyDescent="0.25">
      <c r="B40" s="2"/>
      <c r="C40" s="35"/>
      <c r="D40" s="40"/>
      <c r="E40" s="36"/>
      <c r="F40" s="2"/>
      <c r="G40" s="2"/>
      <c r="H40" s="2"/>
      <c r="I40" s="2"/>
      <c r="J40" s="35"/>
      <c r="K40" s="2"/>
      <c r="L40" s="2"/>
      <c r="M40" s="36"/>
      <c r="N40" s="6"/>
      <c r="O40" s="6"/>
      <c r="P40" s="36"/>
      <c r="Q40" s="2"/>
    </row>
    <row r="41" spans="2:17" x14ac:dyDescent="0.25">
      <c r="B41" s="2"/>
      <c r="C41" s="35"/>
      <c r="D41" s="40"/>
      <c r="E41" s="36"/>
      <c r="F41" s="2"/>
      <c r="G41" s="2"/>
      <c r="H41" s="2"/>
      <c r="I41" s="2"/>
      <c r="J41" s="35"/>
      <c r="K41" s="2"/>
      <c r="L41" s="2"/>
      <c r="M41" s="36"/>
      <c r="N41" s="6"/>
      <c r="O41" s="6"/>
      <c r="P41" s="36"/>
      <c r="Q41" s="2"/>
    </row>
    <row r="42" spans="2:17" x14ac:dyDescent="0.25">
      <c r="B42" s="2"/>
      <c r="C42" s="35"/>
      <c r="D42" s="40"/>
      <c r="E42" s="36"/>
      <c r="F42" s="2"/>
      <c r="G42" s="2"/>
      <c r="H42" s="2"/>
      <c r="I42" s="2"/>
      <c r="J42" s="35"/>
      <c r="K42" s="2"/>
      <c r="L42" s="2"/>
      <c r="M42" s="36"/>
      <c r="N42" s="6"/>
      <c r="O42" s="6"/>
      <c r="P42" s="36"/>
      <c r="Q42" s="2"/>
    </row>
    <row r="43" spans="2:17" x14ac:dyDescent="0.25">
      <c r="B43" s="2"/>
      <c r="C43" s="35"/>
      <c r="D43" s="40"/>
      <c r="E43" s="36"/>
      <c r="F43" s="2"/>
      <c r="G43" s="2"/>
      <c r="H43" s="2"/>
      <c r="I43" s="2"/>
      <c r="J43" s="35"/>
      <c r="K43" s="2"/>
      <c r="L43" s="2"/>
      <c r="M43" s="36"/>
      <c r="N43" s="6"/>
      <c r="O43" s="6"/>
      <c r="P43" s="36"/>
      <c r="Q43" s="2"/>
    </row>
    <row r="44" spans="2:17" x14ac:dyDescent="0.25">
      <c r="B44" s="2"/>
      <c r="C44" s="35"/>
      <c r="D44" s="40"/>
      <c r="E44" s="36"/>
      <c r="F44" s="2"/>
      <c r="G44" s="2"/>
      <c r="H44" s="2"/>
      <c r="I44" s="2"/>
      <c r="J44" s="35"/>
      <c r="K44" s="2"/>
      <c r="L44" s="2"/>
      <c r="M44" s="36"/>
      <c r="N44" s="6"/>
      <c r="O44" s="6"/>
      <c r="P44" s="36"/>
      <c r="Q44" s="2"/>
    </row>
  </sheetData>
  <mergeCells count="1">
    <mergeCell ref="P23:Q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B084-5BA1-4BA5-A146-D28CF5186B5A}">
  <dimension ref="A1:R43"/>
  <sheetViews>
    <sheetView zoomScale="108" zoomScaleNormal="108" workbookViewId="0">
      <selection activeCell="R11" sqref="R11:S12"/>
    </sheetView>
  </sheetViews>
  <sheetFormatPr defaultRowHeight="13.2" x14ac:dyDescent="0.25"/>
  <cols>
    <col min="2" max="2" width="13.44140625" customWidth="1"/>
    <col min="3" max="3" width="11.33203125" customWidth="1"/>
    <col min="4" max="4" width="10.88671875" customWidth="1"/>
    <col min="5" max="5" width="12.33203125" customWidth="1"/>
    <col min="6" max="6" width="13" customWidth="1"/>
    <col min="7" max="7" width="1.5546875" customWidth="1"/>
    <col min="8" max="8" width="12.88671875" customWidth="1"/>
    <col min="9" max="9" width="10.5546875" customWidth="1"/>
    <col min="10" max="10" width="13.88671875" customWidth="1"/>
    <col min="11" max="12" width="14.44140625" customWidth="1"/>
    <col min="13" max="13" width="13.44140625" customWidth="1"/>
    <col min="14" max="14" width="1.6640625" customWidth="1"/>
    <col min="15" max="15" width="12.109375" customWidth="1"/>
    <col min="16" max="16" width="12.44140625" customWidth="1"/>
    <col min="17" max="17" width="13.21875" customWidth="1"/>
  </cols>
  <sheetData>
    <row r="1" spans="1:17" x14ac:dyDescent="0.25">
      <c r="A1" s="34" t="s">
        <v>19</v>
      </c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2"/>
    </row>
    <row r="2" spans="1:17" ht="13.8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45.75" customHeight="1" thickBot="1" x14ac:dyDescent="0.3">
      <c r="A3" s="7" t="s">
        <v>0</v>
      </c>
      <c r="B3" s="8" t="s">
        <v>30</v>
      </c>
      <c r="C3" s="8" t="s">
        <v>31</v>
      </c>
      <c r="D3" s="8" t="s">
        <v>22</v>
      </c>
      <c r="E3" s="8" t="s">
        <v>32</v>
      </c>
      <c r="F3" s="8" t="s">
        <v>33</v>
      </c>
      <c r="G3" s="9"/>
      <c r="H3" s="8" t="s">
        <v>34</v>
      </c>
      <c r="I3" s="8" t="s">
        <v>35</v>
      </c>
      <c r="J3" s="8" t="s">
        <v>36</v>
      </c>
      <c r="K3" s="8" t="s">
        <v>37</v>
      </c>
      <c r="L3" s="100" t="s">
        <v>52</v>
      </c>
      <c r="M3" s="8" t="s">
        <v>38</v>
      </c>
      <c r="N3" s="9"/>
      <c r="O3" s="8" t="s">
        <v>39</v>
      </c>
      <c r="P3" s="89" t="s">
        <v>40</v>
      </c>
      <c r="Q3" s="10"/>
    </row>
    <row r="4" spans="1:17" ht="13.8" thickBot="1" x14ac:dyDescent="0.3">
      <c r="A4" s="11"/>
      <c r="B4" s="12"/>
      <c r="C4" s="12"/>
      <c r="D4" s="12"/>
      <c r="E4" s="12"/>
      <c r="F4" s="13"/>
      <c r="G4" s="14"/>
      <c r="H4" s="15"/>
      <c r="I4" s="15"/>
      <c r="J4" s="15"/>
      <c r="K4" s="15"/>
      <c r="L4" s="101"/>
      <c r="M4" s="16"/>
      <c r="N4" s="14"/>
      <c r="O4" s="11"/>
      <c r="P4" s="64"/>
      <c r="Q4" s="15"/>
    </row>
    <row r="5" spans="1:17" ht="13.8" thickBot="1" x14ac:dyDescent="0.3">
      <c r="A5" s="17">
        <v>1</v>
      </c>
      <c r="B5" s="73">
        <f>liab</f>
        <v>950</v>
      </c>
      <c r="C5" s="18">
        <f t="shared" ref="C5:C19" si="0">VLOOKUP(A5,outgo,2,FALSE)/1000</f>
        <v>40</v>
      </c>
      <c r="D5" s="19">
        <f t="shared" ref="D5:D19" si="1">VLOOKUP(A5,interest,3,FALSE)</f>
        <v>1.9699999999999999E-2</v>
      </c>
      <c r="E5" s="20">
        <f>(B5-C5/2)*D5</f>
        <v>18.320999999999998</v>
      </c>
      <c r="F5" s="21">
        <f>B5-C5+E5</f>
        <v>928.32100000000003</v>
      </c>
      <c r="G5" s="22"/>
      <c r="H5" s="72">
        <f>asset</f>
        <v>760</v>
      </c>
      <c r="I5" s="18">
        <f>C5</f>
        <v>40</v>
      </c>
      <c r="J5" s="20">
        <f t="shared" ref="J5:J19" si="2">camp_cont*(1+infl)^(A5-1)</f>
        <v>10</v>
      </c>
      <c r="K5" s="20">
        <f>(H5-I5/2+J5/2)*(D5)</f>
        <v>14.676499999999999</v>
      </c>
      <c r="L5" s="106">
        <f t="shared" ref="L5:L19" si="3">(H5-I5/2+J5/2)*(add_returns)</f>
        <v>3.5195976245639709</v>
      </c>
      <c r="M5" s="23">
        <f>H5-I5+J5+K5+L5</f>
        <v>748.196097624564</v>
      </c>
      <c r="N5" s="24"/>
      <c r="O5" s="65">
        <f t="shared" ref="O5:O19" si="4">B5-H5</f>
        <v>190</v>
      </c>
      <c r="P5" s="54">
        <f t="shared" ref="P5:P18" si="5">F5-M5</f>
        <v>180.12490237543602</v>
      </c>
      <c r="Q5" s="2"/>
    </row>
    <row r="6" spans="1:17" x14ac:dyDescent="0.25">
      <c r="A6" s="17">
        <f>A5+1</f>
        <v>2</v>
      </c>
      <c r="B6" s="26">
        <f>F5</f>
        <v>928.32100000000003</v>
      </c>
      <c r="C6" s="18">
        <f t="shared" si="0"/>
        <v>40.75</v>
      </c>
      <c r="D6" s="19">
        <f t="shared" si="1"/>
        <v>2.2100000000000002E-2</v>
      </c>
      <c r="E6" s="20">
        <f>(B6-C6/2)*D6</f>
        <v>20.065606600000002</v>
      </c>
      <c r="F6" s="21">
        <f>B6-C6+E6</f>
        <v>907.63660660000005</v>
      </c>
      <c r="G6" s="24"/>
      <c r="H6" s="20">
        <f>M5</f>
        <v>748.196097624564</v>
      </c>
      <c r="I6" s="18">
        <f t="shared" ref="I6:I19" si="6">C6</f>
        <v>40.75</v>
      </c>
      <c r="J6" s="20">
        <f t="shared" si="2"/>
        <v>10.25</v>
      </c>
      <c r="K6" s="20">
        <f t="shared" ref="K6:K19" si="7">(H6-I6/2+J6/2)*(D6)</f>
        <v>16.198108757502865</v>
      </c>
      <c r="L6" s="102">
        <f t="shared" si="3"/>
        <v>3.4626514686346948</v>
      </c>
      <c r="M6" s="23">
        <f t="shared" ref="M6:M19" si="8">H6-I6+J6+K6+L6</f>
        <v>737.35685785070154</v>
      </c>
      <c r="N6" s="24"/>
      <c r="O6" s="65">
        <f t="shared" si="4"/>
        <v>180.12490237543602</v>
      </c>
      <c r="P6" s="54">
        <f t="shared" si="5"/>
        <v>170.27974874929851</v>
      </c>
      <c r="Q6" s="2"/>
    </row>
    <row r="7" spans="1:17" x14ac:dyDescent="0.25">
      <c r="A7" s="17">
        <f t="shared" ref="A7:A19" si="9">A6+1</f>
        <v>3</v>
      </c>
      <c r="B7" s="26">
        <f>F6</f>
        <v>907.63660660000005</v>
      </c>
      <c r="C7" s="18">
        <f t="shared" si="0"/>
        <v>41.5</v>
      </c>
      <c r="D7" s="19">
        <f t="shared" si="1"/>
        <v>2.29E-2</v>
      </c>
      <c r="E7" s="20">
        <f>(B7-C7/2)*D7</f>
        <v>20.30970329114</v>
      </c>
      <c r="F7" s="21">
        <f t="shared" ref="F7:F19" si="10">B7-C7+E7</f>
        <v>886.44630989114</v>
      </c>
      <c r="G7" s="24"/>
      <c r="H7" s="20">
        <f>M6</f>
        <v>737.35685785070154</v>
      </c>
      <c r="I7" s="18">
        <f t="shared" si="6"/>
        <v>41.5</v>
      </c>
      <c r="J7" s="20">
        <f t="shared" si="2"/>
        <v>10.50625</v>
      </c>
      <c r="K7" s="20">
        <f t="shared" si="7"/>
        <v>16.530593607281066</v>
      </c>
      <c r="L7" s="102">
        <f t="shared" si="3"/>
        <v>3.4102774240390841</v>
      </c>
      <c r="M7" s="23">
        <f t="shared" si="8"/>
        <v>726.30397888202174</v>
      </c>
      <c r="N7" s="24"/>
      <c r="O7" s="65">
        <f t="shared" si="4"/>
        <v>170.27974874929851</v>
      </c>
      <c r="P7" s="54">
        <f t="shared" si="5"/>
        <v>160.14233100911827</v>
      </c>
      <c r="Q7" s="2"/>
    </row>
    <row r="8" spans="1:17" x14ac:dyDescent="0.25">
      <c r="A8" s="17">
        <f t="shared" si="9"/>
        <v>4</v>
      </c>
      <c r="B8" s="26">
        <f t="shared" ref="B8:B19" si="11">F7</f>
        <v>886.44630989114</v>
      </c>
      <c r="C8" s="18">
        <f t="shared" si="0"/>
        <v>42.1</v>
      </c>
      <c r="D8" s="19">
        <f t="shared" si="1"/>
        <v>2.1999999999999999E-2</v>
      </c>
      <c r="E8" s="20">
        <f t="shared" ref="E8:E19" si="12">(B8-C8/2)*D8</f>
        <v>19.03871881760508</v>
      </c>
      <c r="F8" s="21">
        <f t="shared" si="10"/>
        <v>863.38502870874504</v>
      </c>
      <c r="G8" s="24"/>
      <c r="H8" s="20">
        <f t="shared" ref="H8:H19" si="13">M7</f>
        <v>726.30397888202174</v>
      </c>
      <c r="I8" s="18">
        <f t="shared" si="6"/>
        <v>42.1</v>
      </c>
      <c r="J8" s="20">
        <f t="shared" si="2"/>
        <v>10.768906249999999</v>
      </c>
      <c r="K8" s="20">
        <f t="shared" si="7"/>
        <v>15.634045504154479</v>
      </c>
      <c r="L8" s="102">
        <f t="shared" si="3"/>
        <v>3.3572635398869517</v>
      </c>
      <c r="M8" s="23">
        <f t="shared" si="8"/>
        <v>713.96419417606319</v>
      </c>
      <c r="N8" s="24"/>
      <c r="O8" s="65">
        <f t="shared" si="4"/>
        <v>160.14233100911827</v>
      </c>
      <c r="P8" s="54">
        <f t="shared" si="5"/>
        <v>149.42083453268185</v>
      </c>
      <c r="Q8" s="2"/>
    </row>
    <row r="9" spans="1:17" x14ac:dyDescent="0.25">
      <c r="A9" s="42">
        <f t="shared" si="9"/>
        <v>5</v>
      </c>
      <c r="B9" s="43">
        <f t="shared" si="11"/>
        <v>863.38502870874504</v>
      </c>
      <c r="C9" s="44">
        <f t="shared" si="0"/>
        <v>42.6</v>
      </c>
      <c r="D9" s="45">
        <f t="shared" si="1"/>
        <v>2.12E-2</v>
      </c>
      <c r="E9" s="46">
        <f t="shared" si="12"/>
        <v>17.852202608625397</v>
      </c>
      <c r="F9" s="47">
        <f t="shared" si="10"/>
        <v>838.63723131737038</v>
      </c>
      <c r="G9" s="48"/>
      <c r="H9" s="46">
        <f t="shared" si="13"/>
        <v>713.96419417606319</v>
      </c>
      <c r="I9" s="49">
        <f t="shared" si="6"/>
        <v>42.6</v>
      </c>
      <c r="J9" s="50">
        <f t="shared" si="2"/>
        <v>11.038128906249998</v>
      </c>
      <c r="K9" s="46">
        <f t="shared" si="7"/>
        <v>14.801485082938791</v>
      </c>
      <c r="L9" s="103">
        <f t="shared" si="3"/>
        <v>3.2984216625256688</v>
      </c>
      <c r="M9" s="23">
        <f t="shared" si="8"/>
        <v>700.50222982777768</v>
      </c>
      <c r="N9" s="48"/>
      <c r="O9" s="66">
        <f t="shared" si="4"/>
        <v>149.42083453268185</v>
      </c>
      <c r="P9" s="55">
        <f t="shared" si="5"/>
        <v>138.1350014895927</v>
      </c>
      <c r="Q9" s="2"/>
    </row>
    <row r="10" spans="1:17" x14ac:dyDescent="0.25">
      <c r="A10" s="17">
        <f t="shared" si="9"/>
        <v>6</v>
      </c>
      <c r="B10" s="26">
        <f t="shared" si="11"/>
        <v>838.63723131737038</v>
      </c>
      <c r="C10" s="18">
        <f t="shared" si="0"/>
        <v>43.6</v>
      </c>
      <c r="D10" s="19">
        <f t="shared" si="1"/>
        <v>2.1499999999999998E-2</v>
      </c>
      <c r="E10" s="20">
        <f t="shared" si="12"/>
        <v>17.562000473323462</v>
      </c>
      <c r="F10" s="21">
        <f t="shared" si="10"/>
        <v>812.59923179069381</v>
      </c>
      <c r="G10" s="24"/>
      <c r="H10" s="20">
        <f t="shared" si="13"/>
        <v>700.50222982777768</v>
      </c>
      <c r="I10" s="18">
        <f t="shared" si="6"/>
        <v>43.6</v>
      </c>
      <c r="J10" s="20">
        <f t="shared" si="2"/>
        <v>11.314082128906247</v>
      </c>
      <c r="K10" s="20">
        <f t="shared" si="7"/>
        <v>14.713724324182962</v>
      </c>
      <c r="L10" s="102">
        <f t="shared" si="3"/>
        <v>3.2331131062827203</v>
      </c>
      <c r="M10" s="23">
        <f t="shared" si="8"/>
        <v>686.16314938714959</v>
      </c>
      <c r="N10" s="24"/>
      <c r="O10" s="65">
        <f t="shared" si="4"/>
        <v>138.1350014895927</v>
      </c>
      <c r="P10" s="54">
        <f t="shared" si="5"/>
        <v>126.43608240354422</v>
      </c>
      <c r="Q10" s="2"/>
    </row>
    <row r="11" spans="1:17" x14ac:dyDescent="0.25">
      <c r="A11" s="17">
        <f t="shared" si="9"/>
        <v>7</v>
      </c>
      <c r="B11" s="26">
        <f t="shared" si="11"/>
        <v>812.59923179069381</v>
      </c>
      <c r="C11" s="18">
        <f t="shared" si="0"/>
        <v>43.9</v>
      </c>
      <c r="D11" s="19">
        <f t="shared" si="1"/>
        <v>2.24E-2</v>
      </c>
      <c r="E11" s="20">
        <f t="shared" si="12"/>
        <v>17.710542792111539</v>
      </c>
      <c r="F11" s="21">
        <f t="shared" si="10"/>
        <v>786.40977458280531</v>
      </c>
      <c r="G11" s="24"/>
      <c r="H11" s="20">
        <f t="shared" si="13"/>
        <v>686.16314938714959</v>
      </c>
      <c r="I11" s="18">
        <f t="shared" si="6"/>
        <v>43.9</v>
      </c>
      <c r="J11" s="20">
        <f t="shared" si="2"/>
        <v>11.596934182128901</v>
      </c>
      <c r="K11" s="20">
        <f t="shared" si="7"/>
        <v>15.008260209111993</v>
      </c>
      <c r="L11" s="102">
        <f t="shared" si="3"/>
        <v>3.1653305956872329</v>
      </c>
      <c r="M11" s="23">
        <f t="shared" si="8"/>
        <v>672.03367437407769</v>
      </c>
      <c r="N11" s="24"/>
      <c r="O11" s="65">
        <f t="shared" si="4"/>
        <v>126.43608240354422</v>
      </c>
      <c r="P11" s="54">
        <f t="shared" si="5"/>
        <v>114.37610020872762</v>
      </c>
      <c r="Q11" s="2"/>
    </row>
    <row r="12" spans="1:17" x14ac:dyDescent="0.25">
      <c r="A12" s="17">
        <f t="shared" si="9"/>
        <v>8</v>
      </c>
      <c r="B12" s="26">
        <f t="shared" si="11"/>
        <v>786.40977458280531</v>
      </c>
      <c r="C12" s="18">
        <f t="shared" si="0"/>
        <v>44.8</v>
      </c>
      <c r="D12" s="19">
        <f t="shared" si="1"/>
        <v>2.3E-2</v>
      </c>
      <c r="E12" s="20">
        <f t="shared" si="12"/>
        <v>17.572224815404521</v>
      </c>
      <c r="F12" s="21">
        <f t="shared" si="10"/>
        <v>759.18199939820988</v>
      </c>
      <c r="G12" s="24"/>
      <c r="H12" s="20">
        <f t="shared" si="13"/>
        <v>672.03367437407769</v>
      </c>
      <c r="I12" s="18">
        <f t="shared" si="6"/>
        <v>44.8</v>
      </c>
      <c r="J12" s="20">
        <f t="shared" si="2"/>
        <v>11.886857536682125</v>
      </c>
      <c r="K12" s="20">
        <f t="shared" si="7"/>
        <v>15.078273372275632</v>
      </c>
      <c r="L12" s="102">
        <f t="shared" si="3"/>
        <v>3.0971377381725991</v>
      </c>
      <c r="M12" s="23">
        <f t="shared" si="8"/>
        <v>657.29594302120802</v>
      </c>
      <c r="N12" s="24"/>
      <c r="O12" s="65">
        <f t="shared" si="4"/>
        <v>114.37610020872762</v>
      </c>
      <c r="P12" s="54">
        <f t="shared" si="5"/>
        <v>101.88605637700186</v>
      </c>
      <c r="Q12" s="2"/>
    </row>
    <row r="13" spans="1:17" x14ac:dyDescent="0.25">
      <c r="A13" s="17">
        <f t="shared" si="9"/>
        <v>9</v>
      </c>
      <c r="B13" s="26">
        <f t="shared" si="11"/>
        <v>759.18199939820988</v>
      </c>
      <c r="C13" s="18">
        <f t="shared" si="0"/>
        <v>45.4</v>
      </c>
      <c r="D13" s="19">
        <f t="shared" si="1"/>
        <v>2.35E-2</v>
      </c>
      <c r="E13" s="20">
        <f t="shared" si="12"/>
        <v>17.30732698585793</v>
      </c>
      <c r="F13" s="21">
        <f t="shared" si="10"/>
        <v>731.08932638406782</v>
      </c>
      <c r="G13" s="24"/>
      <c r="H13" s="20">
        <f t="shared" si="13"/>
        <v>657.29594302120802</v>
      </c>
      <c r="I13" s="18">
        <f t="shared" si="6"/>
        <v>45.4</v>
      </c>
      <c r="J13" s="20">
        <f t="shared" si="2"/>
        <v>12.184028975099178</v>
      </c>
      <c r="K13" s="20">
        <f t="shared" si="7"/>
        <v>15.056167001455803</v>
      </c>
      <c r="L13" s="102">
        <f t="shared" si="3"/>
        <v>3.0267970648786111</v>
      </c>
      <c r="M13" s="23">
        <f t="shared" si="8"/>
        <v>642.16293606264162</v>
      </c>
      <c r="N13" s="24"/>
      <c r="O13" s="65">
        <f t="shared" si="4"/>
        <v>101.88605637700186</v>
      </c>
      <c r="P13" s="54">
        <f t="shared" si="5"/>
        <v>88.926390321426197</v>
      </c>
      <c r="Q13" s="2"/>
    </row>
    <row r="14" spans="1:17" x14ac:dyDescent="0.25">
      <c r="A14" s="42">
        <f t="shared" si="9"/>
        <v>10</v>
      </c>
      <c r="B14" s="52">
        <f t="shared" si="11"/>
        <v>731.08932638406782</v>
      </c>
      <c r="C14" s="44">
        <f t="shared" si="0"/>
        <v>45.7</v>
      </c>
      <c r="D14" s="45">
        <f t="shared" si="1"/>
        <v>2.4500000000000001E-2</v>
      </c>
      <c r="E14" s="50">
        <f t="shared" si="12"/>
        <v>17.351863496409663</v>
      </c>
      <c r="F14" s="47">
        <f t="shared" si="10"/>
        <v>702.74118988047746</v>
      </c>
      <c r="G14" s="53"/>
      <c r="H14" s="50">
        <f t="shared" si="13"/>
        <v>642.16293606264162</v>
      </c>
      <c r="I14" s="44">
        <f t="shared" si="6"/>
        <v>45.7</v>
      </c>
      <c r="J14" s="50">
        <f t="shared" si="2"/>
        <v>12.488629699476654</v>
      </c>
      <c r="K14" s="50">
        <f t="shared" si="7"/>
        <v>15.326152647353309</v>
      </c>
      <c r="L14" s="102">
        <f t="shared" si="3"/>
        <v>2.9553151870335306</v>
      </c>
      <c r="M14" s="23">
        <f t="shared" si="8"/>
        <v>627.23303359650504</v>
      </c>
      <c r="N14" s="53"/>
      <c r="O14" s="67">
        <f t="shared" si="4"/>
        <v>88.926390321426197</v>
      </c>
      <c r="P14" s="55">
        <f t="shared" si="5"/>
        <v>75.508156283972426</v>
      </c>
      <c r="Q14" s="2"/>
    </row>
    <row r="15" spans="1:17" x14ac:dyDescent="0.25">
      <c r="A15" s="17">
        <f t="shared" si="9"/>
        <v>11</v>
      </c>
      <c r="B15" s="26">
        <f t="shared" si="11"/>
        <v>702.74118988047746</v>
      </c>
      <c r="C15" s="18">
        <f t="shared" si="0"/>
        <v>46.2</v>
      </c>
      <c r="D15" s="19">
        <f t="shared" si="1"/>
        <v>2.6599999999999999E-2</v>
      </c>
      <c r="E15" s="20">
        <f t="shared" si="12"/>
        <v>18.0784556508207</v>
      </c>
      <c r="F15" s="21">
        <f t="shared" si="10"/>
        <v>674.61964553129815</v>
      </c>
      <c r="G15" s="24"/>
      <c r="H15" s="20">
        <f t="shared" si="13"/>
        <v>627.23303359650504</v>
      </c>
      <c r="I15" s="18">
        <f t="shared" si="6"/>
        <v>46.2</v>
      </c>
      <c r="J15" s="20">
        <f t="shared" si="2"/>
        <v>12.80084544196357</v>
      </c>
      <c r="K15" s="20">
        <f t="shared" si="7"/>
        <v>16.240189938045148</v>
      </c>
      <c r="L15" s="102">
        <f t="shared" si="3"/>
        <v>2.8843383927139024</v>
      </c>
      <c r="M15" s="23">
        <f t="shared" si="8"/>
        <v>612.95840736922753</v>
      </c>
      <c r="N15" s="24"/>
      <c r="O15" s="65">
        <f t="shared" si="4"/>
        <v>75.508156283972426</v>
      </c>
      <c r="P15" s="54">
        <f t="shared" si="5"/>
        <v>61.661238162070617</v>
      </c>
      <c r="Q15" s="2"/>
    </row>
    <row r="16" spans="1:17" x14ac:dyDescent="0.25">
      <c r="A16" s="17">
        <f t="shared" si="9"/>
        <v>12</v>
      </c>
      <c r="B16" s="26">
        <f t="shared" si="11"/>
        <v>674.61964553129815</v>
      </c>
      <c r="C16" s="18">
        <f t="shared" si="0"/>
        <v>46.8</v>
      </c>
      <c r="D16" s="19">
        <f t="shared" si="1"/>
        <v>2.92E-2</v>
      </c>
      <c r="E16" s="20">
        <f t="shared" si="12"/>
        <v>19.015613649513906</v>
      </c>
      <c r="F16" s="21">
        <f t="shared" si="10"/>
        <v>646.83525918081205</v>
      </c>
      <c r="G16" s="24"/>
      <c r="H16" s="20">
        <f t="shared" si="13"/>
        <v>612.95840736922753</v>
      </c>
      <c r="I16" s="18">
        <f t="shared" si="6"/>
        <v>46.8</v>
      </c>
      <c r="J16" s="20">
        <f t="shared" si="2"/>
        <v>13.120866578012659</v>
      </c>
      <c r="K16" s="20">
        <f t="shared" si="7"/>
        <v>17.406670147220431</v>
      </c>
      <c r="L16" s="102">
        <f t="shared" si="3"/>
        <v>2.8162395376356355</v>
      </c>
      <c r="M16" s="23">
        <f t="shared" si="8"/>
        <v>599.50218363209626</v>
      </c>
      <c r="N16" s="24"/>
      <c r="O16" s="65">
        <f t="shared" si="4"/>
        <v>61.661238162070617</v>
      </c>
      <c r="P16" s="54">
        <f t="shared" si="5"/>
        <v>47.333075548715783</v>
      </c>
      <c r="Q16" s="2"/>
    </row>
    <row r="17" spans="1:18" x14ac:dyDescent="0.25">
      <c r="A17" s="17">
        <f t="shared" si="9"/>
        <v>13</v>
      </c>
      <c r="B17" s="26">
        <f t="shared" si="11"/>
        <v>646.83525918081205</v>
      </c>
      <c r="C17" s="18">
        <f t="shared" si="0"/>
        <v>47.2</v>
      </c>
      <c r="D17" s="19">
        <f t="shared" si="1"/>
        <v>2.86E-2</v>
      </c>
      <c r="E17" s="20">
        <f t="shared" si="12"/>
        <v>17.824528412571222</v>
      </c>
      <c r="F17" s="21">
        <f t="shared" si="10"/>
        <v>617.45978759338323</v>
      </c>
      <c r="G17" s="24"/>
      <c r="H17" s="20">
        <f t="shared" si="13"/>
        <v>599.50218363209626</v>
      </c>
      <c r="I17" s="18">
        <f t="shared" si="6"/>
        <v>47.2</v>
      </c>
      <c r="J17" s="20">
        <f t="shared" si="2"/>
        <v>13.448888242462974</v>
      </c>
      <c r="K17" s="20">
        <f t="shared" si="7"/>
        <v>16.663121553745174</v>
      </c>
      <c r="L17" s="102">
        <f t="shared" si="3"/>
        <v>2.7524983826152072</v>
      </c>
      <c r="M17" s="23">
        <f t="shared" si="8"/>
        <v>585.16669181091959</v>
      </c>
      <c r="N17" s="24"/>
      <c r="O17" s="65">
        <f t="shared" si="4"/>
        <v>47.333075548715783</v>
      </c>
      <c r="P17" s="54">
        <f t="shared" si="5"/>
        <v>32.293095782463638</v>
      </c>
      <c r="Q17" s="2"/>
    </row>
    <row r="18" spans="1:18" ht="13.8" thickBot="1" x14ac:dyDescent="0.3">
      <c r="A18" s="17">
        <f t="shared" si="9"/>
        <v>14</v>
      </c>
      <c r="B18" s="26">
        <f t="shared" si="11"/>
        <v>617.45978759338323</v>
      </c>
      <c r="C18" s="18">
        <f t="shared" si="0"/>
        <v>47.5</v>
      </c>
      <c r="D18" s="19">
        <f t="shared" si="1"/>
        <v>2.64E-2</v>
      </c>
      <c r="E18" s="20">
        <f t="shared" si="12"/>
        <v>15.673938392465317</v>
      </c>
      <c r="F18" s="21">
        <f t="shared" si="10"/>
        <v>585.63372598584851</v>
      </c>
      <c r="G18" s="24"/>
      <c r="H18" s="20">
        <f t="shared" si="13"/>
        <v>585.16669181091959</v>
      </c>
      <c r="I18" s="18">
        <f t="shared" si="6"/>
        <v>47.5</v>
      </c>
      <c r="J18" s="20">
        <f t="shared" si="2"/>
        <v>13.785110448524549</v>
      </c>
      <c r="K18" s="20">
        <f t="shared" si="7"/>
        <v>15.003364121728803</v>
      </c>
      <c r="L18" s="102">
        <f t="shared" si="3"/>
        <v>2.6848588938023692</v>
      </c>
      <c r="M18" s="23">
        <f t="shared" si="8"/>
        <v>569.1400252749753</v>
      </c>
      <c r="N18" s="24"/>
      <c r="O18" s="65">
        <f t="shared" si="4"/>
        <v>32.293095782463638</v>
      </c>
      <c r="P18" s="54">
        <f t="shared" si="5"/>
        <v>16.493700710873213</v>
      </c>
      <c r="Q18" s="2"/>
    </row>
    <row r="19" spans="1:18" ht="13.8" thickBot="1" x14ac:dyDescent="0.3">
      <c r="A19" s="27">
        <f t="shared" si="9"/>
        <v>15</v>
      </c>
      <c r="B19" s="28">
        <f t="shared" si="11"/>
        <v>585.63372598584851</v>
      </c>
      <c r="C19" s="29">
        <f t="shared" si="0"/>
        <v>47.8</v>
      </c>
      <c r="D19" s="30">
        <f t="shared" si="1"/>
        <v>2.5999999999999999E-2</v>
      </c>
      <c r="E19" s="31">
        <f t="shared" si="12"/>
        <v>14.605076875632061</v>
      </c>
      <c r="F19" s="109">
        <f t="shared" si="10"/>
        <v>552.43880286148067</v>
      </c>
      <c r="G19" s="33"/>
      <c r="H19" s="31">
        <f t="shared" si="13"/>
        <v>569.1400252749753</v>
      </c>
      <c r="I19" s="29">
        <f t="shared" si="6"/>
        <v>47.8</v>
      </c>
      <c r="J19" s="31">
        <f t="shared" si="2"/>
        <v>14.129738209737662</v>
      </c>
      <c r="K19" s="31">
        <f t="shared" si="7"/>
        <v>14.359927253875949</v>
      </c>
      <c r="L19" s="104">
        <f t="shared" si="3"/>
        <v>2.6092496567709458</v>
      </c>
      <c r="M19" s="108">
        <f t="shared" si="8"/>
        <v>552.43894039535996</v>
      </c>
      <c r="N19" s="33"/>
      <c r="O19" s="68">
        <f t="shared" si="4"/>
        <v>16.493700710873213</v>
      </c>
      <c r="P19" s="107">
        <f>F19-M19</f>
        <v>-1.3753387929682503E-4</v>
      </c>
      <c r="Q19" t="str">
        <f>IF(P19&lt;0,"Goal seek-OK","ERROR")</f>
        <v>Goal seek-OK</v>
      </c>
    </row>
    <row r="20" spans="1:18" ht="22.5" customHeight="1" x14ac:dyDescent="0.25">
      <c r="F20" s="6"/>
      <c r="G20" s="2"/>
      <c r="H20" s="2"/>
      <c r="I20" s="2"/>
      <c r="J20" s="2"/>
      <c r="K20" s="2"/>
      <c r="L20" s="2"/>
      <c r="M20" s="2"/>
      <c r="N20" s="2"/>
      <c r="O20" s="25"/>
      <c r="P20" s="2"/>
      <c r="Q20" s="111" t="s">
        <v>54</v>
      </c>
      <c r="R20" s="112">
        <f>P19</f>
        <v>-1.3753387929682503E-4</v>
      </c>
    </row>
    <row r="21" spans="1:18" ht="26.4" x14ac:dyDescent="0.25">
      <c r="F21" s="6"/>
      <c r="G21" s="2"/>
      <c r="H21" s="2"/>
      <c r="I21" s="2"/>
      <c r="J21" s="2"/>
      <c r="K21" s="2"/>
      <c r="L21" s="2"/>
      <c r="M21" s="2"/>
      <c r="N21" s="2"/>
      <c r="O21" s="25"/>
      <c r="P21" s="2"/>
      <c r="Q21" s="113" t="s">
        <v>53</v>
      </c>
      <c r="R21" s="119">
        <f>add_returns</f>
        <v>4.7242921135086857E-3</v>
      </c>
    </row>
    <row r="22" spans="1:18" ht="13.8" thickBot="1" x14ac:dyDescent="0.3">
      <c r="F22" s="6"/>
      <c r="G22" s="2"/>
      <c r="H22" s="2"/>
      <c r="I22" s="2"/>
      <c r="J22" s="2"/>
      <c r="K22" s="2"/>
      <c r="L22" s="2"/>
      <c r="M22" s="2"/>
      <c r="N22" s="2"/>
      <c r="O22" s="25"/>
      <c r="P22" s="2"/>
      <c r="Q22" s="1"/>
    </row>
    <row r="23" spans="1:18" x14ac:dyDescent="0.25">
      <c r="F23" s="6"/>
      <c r="G23" s="2"/>
      <c r="H23" s="2"/>
      <c r="I23" s="2"/>
      <c r="J23" s="2"/>
      <c r="K23" s="2"/>
      <c r="L23" s="2"/>
      <c r="M23" s="2"/>
      <c r="N23" s="2"/>
      <c r="O23" s="25"/>
      <c r="P23" s="120" t="s">
        <v>41</v>
      </c>
      <c r="Q23" s="121"/>
    </row>
    <row r="24" spans="1:18" x14ac:dyDescent="0.25">
      <c r="F24" s="6"/>
      <c r="G24" s="2"/>
      <c r="H24" s="2"/>
      <c r="I24" s="2"/>
      <c r="J24" s="2"/>
      <c r="K24" s="2"/>
      <c r="L24" s="2"/>
      <c r="M24" s="2"/>
      <c r="N24" s="2"/>
      <c r="O24" s="25"/>
      <c r="P24" s="22" t="s">
        <v>42</v>
      </c>
      <c r="Q24" s="93" t="s">
        <v>43</v>
      </c>
    </row>
    <row r="25" spans="1:18" x14ac:dyDescent="0.25">
      <c r="F25" s="6"/>
      <c r="G25" s="2"/>
      <c r="H25" s="2"/>
      <c r="I25" s="2"/>
      <c r="J25" s="2"/>
      <c r="K25" s="2"/>
      <c r="L25" s="2"/>
      <c r="M25" s="2"/>
      <c r="N25" s="2"/>
      <c r="O25" s="2"/>
      <c r="P25" s="22" t="s">
        <v>47</v>
      </c>
      <c r="Q25" s="93">
        <v>0</v>
      </c>
    </row>
    <row r="26" spans="1:18" ht="27" thickBot="1" x14ac:dyDescent="0.3">
      <c r="F26" s="6"/>
      <c r="G26" s="2"/>
      <c r="H26" s="2"/>
      <c r="I26" s="2"/>
      <c r="J26" s="2"/>
      <c r="K26" s="2"/>
      <c r="L26" s="2"/>
      <c r="M26" s="2"/>
      <c r="N26" s="2"/>
      <c r="O26" s="2"/>
      <c r="P26" s="114" t="s">
        <v>48</v>
      </c>
      <c r="Q26" s="94" t="s">
        <v>55</v>
      </c>
    </row>
    <row r="27" spans="1:18" x14ac:dyDescent="0.25">
      <c r="F27" s="6"/>
      <c r="G27" s="2"/>
      <c r="H27" s="2"/>
      <c r="I27" s="2"/>
      <c r="J27" s="2"/>
      <c r="K27" s="2"/>
      <c r="L27" s="2"/>
      <c r="M27" s="2"/>
      <c r="N27" s="2"/>
      <c r="O27" s="2"/>
      <c r="P27" s="39"/>
      <c r="Q27" s="2"/>
    </row>
    <row r="28" spans="1:18" x14ac:dyDescent="0.25">
      <c r="F28" s="6"/>
      <c r="G28" s="2"/>
      <c r="H28" s="2"/>
      <c r="I28" s="2"/>
      <c r="J28" s="2"/>
      <c r="K28" s="2"/>
      <c r="L28" s="2"/>
      <c r="M28" s="2"/>
      <c r="N28" s="2"/>
      <c r="O28" s="2"/>
      <c r="P28" s="39"/>
      <c r="Q28" s="2"/>
    </row>
    <row r="29" spans="1:18" x14ac:dyDescent="0.25">
      <c r="F29" s="6"/>
      <c r="G29" s="2"/>
      <c r="H29" s="2"/>
      <c r="I29" s="2"/>
      <c r="J29" s="2"/>
      <c r="K29" s="2"/>
      <c r="L29" s="2"/>
      <c r="M29" s="2"/>
      <c r="N29" s="2"/>
      <c r="O29" s="2"/>
      <c r="P29" s="39"/>
      <c r="Q29" s="2"/>
    </row>
    <row r="30" spans="1:18" x14ac:dyDescent="0.25">
      <c r="F30" s="6"/>
      <c r="G30" s="2"/>
      <c r="H30" s="2"/>
      <c r="I30" s="2"/>
      <c r="J30" s="2"/>
      <c r="K30" s="2"/>
      <c r="L30" s="2"/>
      <c r="M30" s="2"/>
      <c r="N30" s="2"/>
      <c r="O30" s="38"/>
      <c r="P30" s="39"/>
      <c r="Q30" s="2"/>
    </row>
    <row r="31" spans="1:18" x14ac:dyDescent="0.25">
      <c r="F31" s="2"/>
      <c r="G31" s="2"/>
      <c r="H31" s="2"/>
      <c r="I31" s="2"/>
      <c r="J31" s="2"/>
      <c r="K31" s="2"/>
      <c r="L31" s="2"/>
      <c r="M31" s="2"/>
      <c r="N31" s="2"/>
      <c r="O31" s="38"/>
      <c r="P31" s="39"/>
      <c r="Q31" s="2"/>
    </row>
    <row r="32" spans="1:18" x14ac:dyDescent="0.25">
      <c r="A32" s="2"/>
      <c r="B32" s="35"/>
      <c r="C32" s="40"/>
      <c r="D32" s="36"/>
      <c r="E32" s="2"/>
      <c r="F32" s="2"/>
      <c r="G32" s="2"/>
      <c r="H32" s="2"/>
      <c r="I32" s="2"/>
      <c r="J32" s="2"/>
      <c r="K32" s="2"/>
      <c r="L32" s="2"/>
      <c r="M32" s="2"/>
      <c r="N32" s="2"/>
      <c r="O32" s="38"/>
      <c r="P32" s="39"/>
      <c r="Q32" s="2"/>
    </row>
    <row r="33" spans="1:17" x14ac:dyDescent="0.25">
      <c r="A33" s="2"/>
      <c r="B33" s="35"/>
      <c r="C33" s="40"/>
      <c r="D33" s="36"/>
      <c r="E33" s="2"/>
      <c r="F33" s="2"/>
      <c r="G33" s="2"/>
      <c r="H33" s="2"/>
      <c r="I33" s="2"/>
      <c r="J33" s="2"/>
      <c r="K33" s="2"/>
      <c r="L33" s="2"/>
      <c r="M33" s="2"/>
      <c r="N33" s="2"/>
      <c r="O33" s="38"/>
      <c r="P33" s="39"/>
      <c r="Q33" s="2"/>
    </row>
    <row r="34" spans="1:17" x14ac:dyDescent="0.25">
      <c r="A34" s="2"/>
      <c r="B34" s="35"/>
      <c r="C34" s="40"/>
      <c r="D34" s="36"/>
      <c r="E34" s="2"/>
      <c r="F34" s="2"/>
      <c r="G34" s="2"/>
      <c r="H34" s="2"/>
      <c r="I34" s="2"/>
      <c r="J34" s="2"/>
      <c r="K34" s="2"/>
      <c r="L34" s="2"/>
      <c r="M34" s="2"/>
      <c r="N34" s="2"/>
      <c r="O34" s="38"/>
      <c r="P34" s="39"/>
      <c r="Q34" s="2"/>
    </row>
    <row r="35" spans="1:17" x14ac:dyDescent="0.25">
      <c r="A35" s="2"/>
      <c r="B35" s="35"/>
      <c r="C35" s="40"/>
      <c r="D35" s="36"/>
      <c r="E35" s="2"/>
      <c r="F35" s="2"/>
      <c r="G35" s="2"/>
      <c r="H35" s="2"/>
      <c r="I35" s="2"/>
      <c r="J35" s="2"/>
      <c r="K35" s="2"/>
      <c r="L35" s="2"/>
      <c r="M35" s="2"/>
      <c r="N35" s="2"/>
      <c r="O35" s="38"/>
      <c r="P35" s="39"/>
      <c r="Q35" s="2"/>
    </row>
    <row r="36" spans="1:17" x14ac:dyDescent="0.25">
      <c r="A36" s="2"/>
      <c r="B36" s="35"/>
      <c r="C36" s="40"/>
      <c r="D36" s="36"/>
      <c r="E36" s="2"/>
      <c r="F36" s="2"/>
      <c r="G36" s="2"/>
      <c r="H36" s="2"/>
      <c r="I36" s="2"/>
      <c r="J36" s="2"/>
      <c r="K36" s="2"/>
      <c r="L36" s="2"/>
      <c r="M36" s="2"/>
      <c r="N36" s="2"/>
      <c r="O36" s="38"/>
      <c r="P36" s="39"/>
      <c r="Q36" s="2"/>
    </row>
    <row r="37" spans="1:17" x14ac:dyDescent="0.25">
      <c r="A37" s="2"/>
      <c r="B37" s="35"/>
      <c r="C37" s="40"/>
      <c r="D37" s="36"/>
      <c r="E37" s="2"/>
      <c r="F37" s="2"/>
      <c r="G37" s="2"/>
      <c r="H37" s="2"/>
      <c r="I37" s="2"/>
      <c r="J37" s="2"/>
      <c r="K37" s="2"/>
      <c r="L37" s="2"/>
      <c r="M37" s="2"/>
      <c r="N37" s="2"/>
      <c r="O37" s="6"/>
      <c r="P37" s="36"/>
      <c r="Q37" s="2"/>
    </row>
    <row r="38" spans="1:17" x14ac:dyDescent="0.25">
      <c r="A38" s="2"/>
      <c r="B38" s="35"/>
      <c r="C38" s="40"/>
      <c r="D38" s="36"/>
      <c r="E38" s="2"/>
      <c r="F38" s="2"/>
      <c r="G38" s="2"/>
      <c r="H38" s="2"/>
      <c r="I38" s="35"/>
      <c r="J38" s="2"/>
      <c r="K38" s="2"/>
      <c r="L38" s="2"/>
      <c r="M38" s="36"/>
      <c r="N38" s="6"/>
      <c r="O38" s="6"/>
      <c r="P38" s="36"/>
      <c r="Q38" s="2"/>
    </row>
    <row r="39" spans="1:17" x14ac:dyDescent="0.25">
      <c r="A39" s="2"/>
      <c r="B39" s="35"/>
      <c r="C39" s="40"/>
      <c r="D39" s="36"/>
      <c r="E39" s="2"/>
      <c r="F39" s="2"/>
      <c r="G39" s="2"/>
      <c r="H39" s="2"/>
      <c r="I39" s="35"/>
      <c r="J39" s="2"/>
      <c r="K39" s="2"/>
      <c r="L39" s="2"/>
      <c r="M39" s="36"/>
      <c r="N39" s="6"/>
      <c r="O39" s="6"/>
      <c r="P39" s="36"/>
      <c r="Q39" s="2"/>
    </row>
    <row r="40" spans="1:17" x14ac:dyDescent="0.25">
      <c r="A40" s="2"/>
      <c r="B40" s="35"/>
      <c r="C40" s="40"/>
      <c r="D40" s="36"/>
      <c r="E40" s="2"/>
      <c r="F40" s="2"/>
      <c r="G40" s="2"/>
      <c r="H40" s="2"/>
      <c r="I40" s="35"/>
      <c r="J40" s="2"/>
      <c r="K40" s="2"/>
      <c r="L40" s="2"/>
      <c r="M40" s="36"/>
      <c r="N40" s="6"/>
      <c r="O40" s="6"/>
      <c r="P40" s="36"/>
      <c r="Q40" s="2"/>
    </row>
    <row r="41" spans="1:17" x14ac:dyDescent="0.25">
      <c r="A41" s="2"/>
      <c r="B41" s="35"/>
      <c r="C41" s="40"/>
      <c r="D41" s="36"/>
      <c r="E41" s="2"/>
      <c r="F41" s="2"/>
      <c r="G41" s="2"/>
      <c r="H41" s="2"/>
      <c r="I41" s="35"/>
      <c r="J41" s="2"/>
      <c r="K41" s="2"/>
      <c r="L41" s="2"/>
      <c r="M41" s="36"/>
      <c r="N41" s="6"/>
      <c r="O41" s="6"/>
      <c r="P41" s="36"/>
      <c r="Q41" s="2"/>
    </row>
    <row r="42" spans="1:17" x14ac:dyDescent="0.25">
      <c r="A42" s="2"/>
      <c r="B42" s="35"/>
      <c r="C42" s="40"/>
      <c r="D42" s="36"/>
      <c r="E42" s="2"/>
      <c r="F42" s="2"/>
      <c r="G42" s="2"/>
      <c r="H42" s="2"/>
      <c r="I42" s="35"/>
      <c r="J42" s="2"/>
      <c r="K42" s="2"/>
      <c r="L42" s="2"/>
      <c r="M42" s="36"/>
      <c r="N42" s="6"/>
      <c r="O42" s="6"/>
      <c r="P42" s="36"/>
      <c r="Q42" s="2"/>
    </row>
    <row r="43" spans="1:17" x14ac:dyDescent="0.25">
      <c r="A43" s="2"/>
      <c r="B43" s="35"/>
      <c r="C43" s="40"/>
      <c r="D43" s="36"/>
      <c r="E43" s="2"/>
      <c r="F43" s="2"/>
      <c r="G43" s="2"/>
      <c r="H43" s="2"/>
      <c r="I43" s="35"/>
      <c r="J43" s="2"/>
      <c r="K43" s="2"/>
      <c r="L43" s="2"/>
      <c r="M43" s="36"/>
      <c r="N43" s="6"/>
      <c r="O43" s="6"/>
      <c r="P43" s="36"/>
      <c r="Q43" s="2"/>
    </row>
  </sheetData>
  <mergeCells count="1">
    <mergeCell ref="P23:Q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38EF-27AE-40C7-9351-E221FED8FB64}">
  <dimension ref="B1:F39"/>
  <sheetViews>
    <sheetView zoomScale="80" workbookViewId="0">
      <selection activeCell="Q21" sqref="Q21"/>
    </sheetView>
  </sheetViews>
  <sheetFormatPr defaultRowHeight="13.2" x14ac:dyDescent="0.25"/>
  <cols>
    <col min="3" max="3" width="15.88671875" customWidth="1"/>
    <col min="4" max="4" width="17" bestFit="1" customWidth="1"/>
    <col min="5" max="5" width="17.77734375" customWidth="1"/>
    <col min="6" max="6" width="15.5546875" bestFit="1" customWidth="1"/>
  </cols>
  <sheetData>
    <row r="1" spans="2:6" ht="25.05" customHeight="1" x14ac:dyDescent="0.25">
      <c r="C1" t="s">
        <v>57</v>
      </c>
      <c r="E1" s="60"/>
      <c r="F1" s="60"/>
    </row>
    <row r="2" spans="2:6" s="60" customFormat="1" ht="26.4" x14ac:dyDescent="0.25">
      <c r="B2" s="60" t="str">
        <f>Campaign!A3</f>
        <v>Year</v>
      </c>
      <c r="C2" s="60" t="str">
        <f>Campaign!F3</f>
        <v>Liability at year end (Rs. 000)</v>
      </c>
      <c r="D2" s="60" t="s">
        <v>38</v>
      </c>
      <c r="E2" s="60" t="s">
        <v>54</v>
      </c>
    </row>
    <row r="4" spans="2:6" x14ac:dyDescent="0.25">
      <c r="B4">
        <f>Campaign!A5</f>
        <v>1</v>
      </c>
      <c r="C4" s="118">
        <f>Campaign!F5</f>
        <v>928.32100000000003</v>
      </c>
      <c r="D4" s="118">
        <f>Campaign!L5</f>
        <v>744.67650000000003</v>
      </c>
      <c r="E4" s="118">
        <f>C4-D4</f>
        <v>183.64449999999999</v>
      </c>
    </row>
    <row r="5" spans="2:6" x14ac:dyDescent="0.25">
      <c r="B5">
        <f>Campaign!A6</f>
        <v>2</v>
      </c>
      <c r="C5" s="118">
        <f>Campaign!F6</f>
        <v>907.63660660000005</v>
      </c>
      <c r="D5" s="118">
        <f>Campaign!L6</f>
        <v>730.29682565000007</v>
      </c>
      <c r="E5" s="118">
        <f t="shared" ref="E5:E18" si="0">C5-D5</f>
        <v>177.33978094999998</v>
      </c>
    </row>
    <row r="6" spans="2:6" x14ac:dyDescent="0.25">
      <c r="B6">
        <f>Campaign!A7</f>
        <v>3</v>
      </c>
      <c r="C6" s="118">
        <f>Campaign!F7</f>
        <v>886.44630989114</v>
      </c>
      <c r="D6" s="118">
        <f>Campaign!L7</f>
        <v>715.67199451988506</v>
      </c>
      <c r="E6" s="118">
        <f t="shared" si="0"/>
        <v>170.77431537125494</v>
      </c>
    </row>
    <row r="7" spans="2:6" x14ac:dyDescent="0.25">
      <c r="B7">
        <f>Campaign!A8</f>
        <v>4</v>
      </c>
      <c r="C7" s="118">
        <f>Campaign!F8</f>
        <v>863.38502870874504</v>
      </c>
      <c r="D7" s="118">
        <f>Campaign!L8</f>
        <v>699.74104261807247</v>
      </c>
      <c r="E7" s="118">
        <f t="shared" si="0"/>
        <v>163.64398609067257</v>
      </c>
    </row>
    <row r="8" spans="2:6" x14ac:dyDescent="0.25">
      <c r="B8">
        <f>Campaign!A9</f>
        <v>5</v>
      </c>
      <c r="C8" s="118">
        <f>Campaign!F9</f>
        <v>838.63723131737038</v>
      </c>
      <c r="D8" s="118">
        <f>Campaign!L9</f>
        <v>682.67912579423182</v>
      </c>
      <c r="E8" s="118">
        <f t="shared" si="0"/>
        <v>155.95810552313856</v>
      </c>
    </row>
    <row r="9" spans="2:6" x14ac:dyDescent="0.25">
      <c r="B9">
        <f>Campaign!A10</f>
        <v>6</v>
      </c>
      <c r="C9" s="118">
        <f>Campaign!F10</f>
        <v>812.59923179069381</v>
      </c>
      <c r="D9" s="118">
        <f>Campaign!L10</f>
        <v>664.72373551059968</v>
      </c>
      <c r="E9" s="118">
        <f t="shared" si="0"/>
        <v>147.87549628009413</v>
      </c>
    </row>
    <row r="10" spans="2:6" x14ac:dyDescent="0.25">
      <c r="B10">
        <f>Campaign!A11</f>
        <v>7</v>
      </c>
      <c r="C10" s="118">
        <f>Campaign!F11</f>
        <v>786.40977458280531</v>
      </c>
      <c r="D10" s="118">
        <f>Campaign!L11</f>
        <v>646.94868703100587</v>
      </c>
      <c r="E10" s="118">
        <f t="shared" si="0"/>
        <v>139.46108755179944</v>
      </c>
    </row>
    <row r="11" spans="2:6" x14ac:dyDescent="0.25">
      <c r="B11">
        <f>Campaign!A12</f>
        <v>8</v>
      </c>
      <c r="C11" s="118">
        <f>Campaign!F12</f>
        <v>759.18199939820988</v>
      </c>
      <c r="D11" s="118">
        <f>Campaign!L12</f>
        <v>628.53686323107297</v>
      </c>
      <c r="E11" s="118">
        <f t="shared" si="0"/>
        <v>130.64513616713691</v>
      </c>
    </row>
    <row r="12" spans="2:6" x14ac:dyDescent="0.25">
      <c r="B12">
        <f>Campaign!A13</f>
        <v>9</v>
      </c>
      <c r="C12" s="118">
        <f>Campaign!F13</f>
        <v>731.08932638406782</v>
      </c>
      <c r="D12" s="118">
        <f>Campaign!L13</f>
        <v>609.70122083255978</v>
      </c>
      <c r="E12" s="118">
        <f t="shared" si="0"/>
        <v>121.38810555150803</v>
      </c>
    </row>
    <row r="13" spans="2:6" x14ac:dyDescent="0.25">
      <c r="B13">
        <f>Campaign!A14</f>
        <v>10</v>
      </c>
      <c r="C13" s="118">
        <f>Campaign!F14</f>
        <v>702.74118988047746</v>
      </c>
      <c r="D13" s="118">
        <f>Campaign!L14</f>
        <v>591.02069115625272</v>
      </c>
      <c r="E13" s="118">
        <f t="shared" si="0"/>
        <v>111.72049872422474</v>
      </c>
    </row>
    <row r="14" spans="2:6" x14ac:dyDescent="0.25">
      <c r="B14">
        <f>Campaign!A15</f>
        <v>11</v>
      </c>
      <c r="C14" s="118">
        <f>Campaign!F15</f>
        <v>674.61964553129815</v>
      </c>
      <c r="D14" s="118">
        <f>Campaign!L15</f>
        <v>572.89847822735067</v>
      </c>
      <c r="E14" s="118">
        <f t="shared" si="0"/>
        <v>101.72116730394748</v>
      </c>
    </row>
    <row r="15" spans="2:6" x14ac:dyDescent="0.25">
      <c r="B15">
        <f>Campaign!A16</f>
        <v>12</v>
      </c>
      <c r="C15" s="118">
        <f>Campaign!F16</f>
        <v>646.83525918081205</v>
      </c>
      <c r="D15" s="118">
        <f>Campaign!L16</f>
        <v>555.456265021641</v>
      </c>
      <c r="E15" s="118">
        <f t="shared" si="0"/>
        <v>91.378994159171043</v>
      </c>
    </row>
    <row r="16" spans="2:6" x14ac:dyDescent="0.25">
      <c r="B16">
        <f>Campaign!A17</f>
        <v>13</v>
      </c>
      <c r="C16" s="118">
        <f>Campaign!F17</f>
        <v>617.45978759338323</v>
      </c>
      <c r="D16" s="118">
        <f>Campaign!L17</f>
        <v>537.10856154559008</v>
      </c>
      <c r="E16" s="118">
        <f t="shared" si="0"/>
        <v>80.351226047793148</v>
      </c>
    </row>
    <row r="17" spans="2:6" x14ac:dyDescent="0.25">
      <c r="B17">
        <f>Campaign!A18</f>
        <v>14</v>
      </c>
      <c r="C17" s="118">
        <f>Campaign!F18</f>
        <v>585.63372598584851</v>
      </c>
      <c r="D17" s="118">
        <f>Campaign!L18</f>
        <v>517.12830147683871</v>
      </c>
      <c r="E17" s="118">
        <f t="shared" si="0"/>
        <v>68.505424509009799</v>
      </c>
    </row>
    <row r="18" spans="2:6" x14ac:dyDescent="0.25">
      <c r="B18">
        <f>Campaign!A19</f>
        <v>15</v>
      </c>
      <c r="C18" s="118">
        <f>Campaign!F19</f>
        <v>552.43880286148067</v>
      </c>
      <c r="D18" s="118">
        <f>Campaign!L19</f>
        <v>496.46566212170075</v>
      </c>
      <c r="E18" s="92">
        <f t="shared" si="0"/>
        <v>55.973140739779922</v>
      </c>
    </row>
    <row r="22" spans="2:6" ht="12.45" customHeight="1" x14ac:dyDescent="0.25">
      <c r="C22" t="s">
        <v>57</v>
      </c>
      <c r="D22" s="122" t="s">
        <v>38</v>
      </c>
      <c r="E22" s="122"/>
      <c r="F22" s="122"/>
    </row>
    <row r="23" spans="2:6" ht="25.05" customHeight="1" x14ac:dyDescent="0.25">
      <c r="B23" t="s">
        <v>0</v>
      </c>
      <c r="C23" t="s">
        <v>33</v>
      </c>
      <c r="D23" t="s">
        <v>56</v>
      </c>
      <c r="E23" t="s">
        <v>58</v>
      </c>
    </row>
    <row r="25" spans="2:6" x14ac:dyDescent="0.25">
      <c r="B25">
        <v>1</v>
      </c>
      <c r="C25">
        <v>928.32100000000003</v>
      </c>
      <c r="D25">
        <v>747.30452128848572</v>
      </c>
      <c r="E25">
        <v>748.196097624564</v>
      </c>
    </row>
    <row r="26" spans="2:6" x14ac:dyDescent="0.25">
      <c r="B26">
        <v>2</v>
      </c>
      <c r="C26">
        <v>907.63660660000005</v>
      </c>
      <c r="D26">
        <v>735.67984896661494</v>
      </c>
      <c r="E26">
        <v>737.35685785070154</v>
      </c>
    </row>
    <row r="27" spans="2:6" x14ac:dyDescent="0.25">
      <c r="B27">
        <v>3</v>
      </c>
      <c r="C27">
        <v>886.44630989114</v>
      </c>
      <c r="D27">
        <v>723.94372855050528</v>
      </c>
      <c r="E27">
        <v>726.30397888202174</v>
      </c>
    </row>
    <row r="28" spans="2:6" x14ac:dyDescent="0.25">
      <c r="B28">
        <v>4</v>
      </c>
      <c r="C28">
        <v>863.38502870874504</v>
      </c>
      <c r="D28">
        <v>711.02806914527673</v>
      </c>
      <c r="E28">
        <v>713.96419417606319</v>
      </c>
    </row>
    <row r="29" spans="2:6" x14ac:dyDescent="0.25">
      <c r="B29">
        <v>5</v>
      </c>
      <c r="C29">
        <v>838.63723131737038</v>
      </c>
      <c r="D29">
        <v>697.10843547075456</v>
      </c>
      <c r="E29">
        <v>700.50222982777768</v>
      </c>
    </row>
    <row r="30" spans="2:6" x14ac:dyDescent="0.25">
      <c r="B30">
        <v>6</v>
      </c>
      <c r="C30">
        <v>812.59923179069381</v>
      </c>
      <c r="D30">
        <v>682.43929014121727</v>
      </c>
      <c r="E30">
        <v>686.16314938714959</v>
      </c>
    </row>
    <row r="31" spans="2:6" x14ac:dyDescent="0.25">
      <c r="B31">
        <v>7</v>
      </c>
      <c r="C31">
        <v>786.40977458280531</v>
      </c>
      <c r="D31">
        <v>668.11284333868537</v>
      </c>
      <c r="E31">
        <v>672.03367437407769</v>
      </c>
    </row>
    <row r="32" spans="2:6" x14ac:dyDescent="0.25">
      <c r="B32">
        <v>8</v>
      </c>
      <c r="C32">
        <v>759.18199939820988</v>
      </c>
      <c r="D32">
        <v>653.31679074487852</v>
      </c>
      <c r="E32">
        <v>657.29594302120802</v>
      </c>
    </row>
    <row r="33" spans="2:5" x14ac:dyDescent="0.25">
      <c r="B33">
        <v>9</v>
      </c>
      <c r="C33">
        <v>731.08932638406782</v>
      </c>
      <c r="D33">
        <v>638.27148983346501</v>
      </c>
      <c r="E33">
        <v>642.16293606264162</v>
      </c>
    </row>
    <row r="34" spans="2:5" x14ac:dyDescent="0.25">
      <c r="B34">
        <v>10</v>
      </c>
      <c r="C34">
        <v>702.74118988047746</v>
      </c>
      <c r="D34">
        <v>623.58077028082755</v>
      </c>
      <c r="E34">
        <v>627.23303359650504</v>
      </c>
    </row>
    <row r="35" spans="2:5" x14ac:dyDescent="0.25">
      <c r="B35">
        <v>11</v>
      </c>
      <c r="C35">
        <v>674.61964553129815</v>
      </c>
      <c r="D35">
        <v>609.70023779329438</v>
      </c>
      <c r="E35">
        <v>612.95840736922753</v>
      </c>
    </row>
    <row r="36" spans="2:5" x14ac:dyDescent="0.25">
      <c r="B36">
        <v>12</v>
      </c>
      <c r="C36">
        <v>646.83525918081205</v>
      </c>
      <c r="D36">
        <v>596.79704678773294</v>
      </c>
      <c r="E36">
        <v>599.50218363209626</v>
      </c>
    </row>
    <row r="37" spans="2:5" x14ac:dyDescent="0.25">
      <c r="B37">
        <v>13</v>
      </c>
      <c r="C37">
        <v>617.45978759338323</v>
      </c>
      <c r="D37">
        <v>583.1816607848674</v>
      </c>
      <c r="E37">
        <v>585.16669181091959</v>
      </c>
    </row>
    <row r="38" spans="2:5" x14ac:dyDescent="0.25">
      <c r="B38">
        <v>14</v>
      </c>
      <c r="C38">
        <v>585.63372598584851</v>
      </c>
      <c r="D38">
        <v>568.05250476626429</v>
      </c>
      <c r="E38">
        <v>569.1400252749753</v>
      </c>
    </row>
    <row r="39" spans="2:5" x14ac:dyDescent="0.25">
      <c r="B39">
        <v>15</v>
      </c>
      <c r="C39">
        <v>552.43880286148067</v>
      </c>
      <c r="D39">
        <v>552.43880286148067</v>
      </c>
      <c r="E39">
        <v>552.43894039535996</v>
      </c>
    </row>
  </sheetData>
  <mergeCells count="1">
    <mergeCell ref="D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Parameters</vt:lpstr>
      <vt:lpstr>Campaign</vt:lpstr>
      <vt:lpstr>Q1A-New donation</vt:lpstr>
      <vt:lpstr>Q1B-Additional Returns</vt:lpstr>
      <vt:lpstr>Q1C-Charts</vt:lpstr>
      <vt:lpstr>add_returns</vt:lpstr>
      <vt:lpstr>asset</vt:lpstr>
      <vt:lpstr>camp_cont</vt:lpstr>
      <vt:lpstr>infl</vt:lpstr>
      <vt:lpstr>interest</vt:lpstr>
      <vt:lpstr>liab</vt:lpstr>
      <vt:lpstr>new_donation</vt:lpstr>
      <vt:lpstr>outgo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ALEXA486</dc:creator>
  <cp:lastModifiedBy>Drishti Chulani</cp:lastModifiedBy>
  <dcterms:created xsi:type="dcterms:W3CDTF">2017-03-22T11:33:17Z</dcterms:created>
  <dcterms:modified xsi:type="dcterms:W3CDTF">2024-06-16T06:29:41Z</dcterms:modified>
</cp:coreProperties>
</file>